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주문 접수 대장" sheetId="1" state="visible" r:id="rId1"/>
    <sheet name="품목별 집계" sheetId="2" state="visible" r:id="rId2"/>
    <sheet name="사용법" sheetId="3" state="visible" r:id="rId3"/>
  </sheets>
  <definedNames>
    <definedName name="_xlnm._FilterDatabase" localSheetId="0" hidden="1">'주문 접수 대장'!$A$3:$R$503</definedName>
    <definedName name="_xlnm.Print_Titles" localSheetId="0">'주문 접수 대장'!$3:$3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hh:mm"/>
    <numFmt numFmtId="166" formatCode="0&quot;건&quot;"/>
    <numFmt numFmtId="167" formatCode="0&quot;일 이내&quot;"/>
    <numFmt numFmtId="168" formatCode="#,##0&quot;건&quot;;-#,##0;"/>
    <numFmt numFmtId="169" formatCode="#,##0;-#,##0;"/>
  </numFmts>
  <fonts count="13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111827"/>
      <sz val="9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color rgb="006B7280"/>
      <sz val="9"/>
    </font>
    <font>
      <name val="맑은 고딕"/>
      <b val="1"/>
      <color rgb="00B42318"/>
      <sz val="9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6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  <fill>
      <patternFill patternType="solid">
        <fgColor rgb="00FFF7D6"/>
        <bgColor rgb="00FFF7D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36">
    <xf numFmtId="0" fontId="0" fillId="0" borderId="0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4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167" fontId="7" fillId="5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  <xf numFmtId="3" fontId="2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8" fontId="2" fillId="0" borderId="1" applyAlignment="1" pivotButton="0" quotePrefix="0" xfId="0">
      <alignment horizontal="center" vertical="center" wrapText="1"/>
    </xf>
    <xf numFmtId="169" fontId="2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 wrapText="1"/>
    </xf>
    <xf numFmtId="168" fontId="1" fillId="3" borderId="1" applyAlignment="1" pivotButton="0" quotePrefix="0" xfId="0">
      <alignment horizontal="center" vertical="center" wrapText="1"/>
    </xf>
    <xf numFmtId="169" fontId="1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FEF0C7"/>
          <bgColor rgb="00FEF0C7"/>
        </patternFill>
      </fill>
    </dxf>
    <dxf>
      <font>
        <name val="맑은 고딕"/>
        <color rgb="009CA3AF"/>
      </font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fax-order-to-excel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03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16" customWidth="1" min="4" max="4"/>
    <col width="12" customWidth="1" min="5" max="5"/>
    <col width="16" customWidth="1" min="6" max="6"/>
    <col width="12" customWidth="1" min="7" max="7"/>
    <col width="8" customWidth="1" min="8" max="8"/>
    <col width="6" customWidth="1" min="9" max="9"/>
    <col width="10" customWidth="1" min="10" max="10"/>
    <col width="12" customWidth="1" min="11" max="11"/>
    <col width="11" customWidth="1" min="12" max="12"/>
    <col width="16" customWidth="1" min="13" max="13"/>
    <col width="20" customWidth="1" min="14" max="14"/>
    <col width="9" customWidth="1" min="15" max="15"/>
    <col width="9" customWidth="1" min="16" max="16"/>
    <col width="8" customWidth="1" min="17" max="17"/>
    <col width="12" customWidth="1" min="18" max="18"/>
    <col hidden="1" width="6" customWidth="1" min="19" max="19"/>
  </cols>
  <sheetData>
    <row r="1" ht="30" customHeight="1">
      <c r="A1" s="1" t="inlineStr">
        <is>
          <t>주문 접수 대장</t>
        </is>
      </c>
      <c r="B1" s="2" t="n"/>
      <c r="C1" s="2" t="n"/>
      <c r="D1" s="3" t="inlineStr">
        <is>
          <t>납기 지연</t>
        </is>
      </c>
      <c r="E1" s="4">
        <f>COUNTIF($P$4:$P$503,"지연")</f>
        <v/>
      </c>
      <c r="F1" s="3" t="inlineStr">
        <is>
          <t>납기 임박</t>
        </is>
      </c>
      <c r="G1" s="5">
        <f>COUNTIF($P$4:$P$503,"임박")</f>
        <v/>
      </c>
      <c r="H1" s="3" t="inlineStr">
        <is>
          <t>진행 중</t>
        </is>
      </c>
      <c r="I1" s="5">
        <f>COUNTIFS($D$4:$D$503,"&lt;&gt;",$O$4:$O$503,"&lt;&gt;납품완료",$O$4:$O$503,"&lt;&gt;취소")</f>
        <v/>
      </c>
      <c r="K1" s="3" t="inlineStr">
        <is>
          <t>임박 기준</t>
        </is>
      </c>
      <c r="L1" s="6" t="n">
        <v>1</v>
      </c>
      <c r="M1" s="7" t="inlineStr">
        <is>
          <t>품목 한 줄에 한 줄. 납기일이 지났으면 '지연'(빨강), 오늘부터 임박 기준 안이면 '임박'(주황). 납품완료·취소는 빠집니다.</t>
        </is>
      </c>
      <c r="N1" s="2" t="n"/>
      <c r="O1" s="2" t="n"/>
      <c r="P1" s="2" t="n"/>
      <c r="Q1" s="2" t="n"/>
      <c r="R1" s="2" t="n"/>
    </row>
    <row r="2">
      <c r="A2" s="8" t="inlineStr">
        <is>
          <t>합계</t>
        </is>
      </c>
      <c r="B2" s="8">
        <f>SUBTOTAL(103,D4:D503)&amp;"건"</f>
        <v/>
      </c>
      <c r="C2" s="9" t="n"/>
      <c r="D2" s="9" t="n"/>
      <c r="E2" s="9" t="n"/>
      <c r="F2" s="9" t="n"/>
      <c r="G2" s="9" t="n"/>
      <c r="H2" s="9" t="n"/>
      <c r="I2" s="9" t="n"/>
      <c r="J2" s="9" t="n"/>
      <c r="K2" s="10">
        <f>SUBTOTAL(109,K4:K503)</f>
        <v/>
      </c>
      <c r="L2" s="9" t="n"/>
      <c r="M2" s="9" t="n"/>
      <c r="N2" s="9" t="n"/>
      <c r="O2" s="9" t="n"/>
      <c r="P2" s="9" t="n"/>
      <c r="Q2" s="9" t="n"/>
      <c r="R2" s="9" t="n"/>
    </row>
    <row r="3" ht="32" customHeight="1">
      <c r="A3" s="11" t="inlineStr">
        <is>
          <t>수신일</t>
        </is>
      </c>
      <c r="B3" s="11" t="inlineStr">
        <is>
          <t>수신시각</t>
        </is>
      </c>
      <c r="C3" s="11" t="inlineStr">
        <is>
          <t>접수 경로</t>
        </is>
      </c>
      <c r="D3" s="11" t="inlineStr">
        <is>
          <t>거래처</t>
        </is>
      </c>
      <c r="E3" s="11" t="inlineStr">
        <is>
          <t>발주번호</t>
        </is>
      </c>
      <c r="F3" s="11" t="inlineStr">
        <is>
          <t>품목</t>
        </is>
      </c>
      <c r="G3" s="11" t="inlineStr">
        <is>
          <t>규격</t>
        </is>
      </c>
      <c r="H3" s="11" t="inlineStr">
        <is>
          <t>수량</t>
        </is>
      </c>
      <c r="I3" s="11" t="inlineStr">
        <is>
          <t>단위</t>
        </is>
      </c>
      <c r="J3" s="11" t="inlineStr">
        <is>
          <t>단가</t>
        </is>
      </c>
      <c r="K3" s="8" t="inlineStr">
        <is>
          <t>금액(자동)</t>
        </is>
      </c>
      <c r="L3" s="11" t="inlineStr">
        <is>
          <t>납기일</t>
        </is>
      </c>
      <c r="M3" s="11" t="inlineStr">
        <is>
          <t>배송지</t>
        </is>
      </c>
      <c r="N3" s="11" t="inlineStr">
        <is>
          <t>특이사항</t>
        </is>
      </c>
      <c r="O3" s="11" t="inlineStr">
        <is>
          <t>처리상태</t>
        </is>
      </c>
      <c r="P3" s="8" t="inlineStr">
        <is>
          <t>납기 표시(자동)</t>
        </is>
      </c>
      <c r="Q3" s="11" t="inlineStr">
        <is>
          <t>접수자</t>
        </is>
      </c>
      <c r="R3" s="11" t="inlineStr">
        <is>
          <t>원본 위치</t>
        </is>
      </c>
      <c r="S3" s="8" t="inlineStr">
        <is>
          <t>품목 순번</t>
        </is>
      </c>
    </row>
    <row r="4">
      <c r="A4" s="12" t="n"/>
      <c r="B4" s="13" t="n"/>
      <c r="C4" s="14" t="n"/>
      <c r="D4" s="15" t="n"/>
      <c r="E4" s="15" t="n"/>
      <c r="F4" s="15" t="n"/>
      <c r="G4" s="15" t="n"/>
      <c r="H4" s="16" t="n"/>
      <c r="I4" s="14" t="n"/>
      <c r="J4" s="17" t="n"/>
      <c r="K4" s="17">
        <f>IF(OR(H4="",J4=""),"",H4*J4)</f>
        <v/>
      </c>
      <c r="L4" s="12" t="n"/>
      <c r="M4" s="15" t="n"/>
      <c r="N4" s="15" t="n"/>
      <c r="O4" s="14" t="n"/>
      <c r="P4" s="14">
        <f>IF(OR(L4="",D4="",O4="납품완료",O4="취소"),"",IF(L4&lt;TODAY(),"지연",IF(L4-TODAY()&lt;=$L$1,"임박","")))</f>
        <v/>
      </c>
      <c r="Q4" s="14" t="n"/>
      <c r="R4" s="15" t="n"/>
      <c r="S4" s="18">
        <f>IF(F4="","",IF(COUNTIF(F$4:F4,F4)=1,MAX(S$3:S3)+1,""))</f>
        <v/>
      </c>
    </row>
    <row r="5">
      <c r="A5" s="12" t="n"/>
      <c r="B5" s="13" t="n"/>
      <c r="C5" s="14" t="n"/>
      <c r="D5" s="15" t="n"/>
      <c r="E5" s="15" t="n"/>
      <c r="F5" s="15" t="n"/>
      <c r="G5" s="15" t="n"/>
      <c r="H5" s="16" t="n"/>
      <c r="I5" s="14" t="n"/>
      <c r="J5" s="17" t="n"/>
      <c r="K5" s="17">
        <f>IF(OR(H5="",J5=""),"",H5*J5)</f>
        <v/>
      </c>
      <c r="L5" s="12" t="n"/>
      <c r="M5" s="15" t="n"/>
      <c r="N5" s="15" t="n"/>
      <c r="O5" s="14" t="n"/>
      <c r="P5" s="14">
        <f>IF(OR(L5="",D5="",O5="납품완료",O5="취소"),"",IF(L5&lt;TODAY(),"지연",IF(L5-TODAY()&lt;=$L$1,"임박","")))</f>
        <v/>
      </c>
      <c r="Q5" s="14" t="n"/>
      <c r="R5" s="15" t="n"/>
      <c r="S5" s="18">
        <f>IF(F5="","",IF(COUNTIF(F$4:F5,F5)=1,MAX(S$3:S4)+1,""))</f>
        <v/>
      </c>
    </row>
    <row r="6">
      <c r="A6" s="12" t="n"/>
      <c r="B6" s="13" t="n"/>
      <c r="C6" s="14" t="n"/>
      <c r="D6" s="15" t="n"/>
      <c r="E6" s="15" t="n"/>
      <c r="F6" s="15" t="n"/>
      <c r="G6" s="15" t="n"/>
      <c r="H6" s="16" t="n"/>
      <c r="I6" s="14" t="n"/>
      <c r="J6" s="17" t="n"/>
      <c r="K6" s="17">
        <f>IF(OR(H6="",J6=""),"",H6*J6)</f>
        <v/>
      </c>
      <c r="L6" s="12" t="n"/>
      <c r="M6" s="15" t="n"/>
      <c r="N6" s="15" t="n"/>
      <c r="O6" s="14" t="n"/>
      <c r="P6" s="14">
        <f>IF(OR(L6="",D6="",O6="납품완료",O6="취소"),"",IF(L6&lt;TODAY(),"지연",IF(L6-TODAY()&lt;=$L$1,"임박","")))</f>
        <v/>
      </c>
      <c r="Q6" s="14" t="n"/>
      <c r="R6" s="15" t="n"/>
      <c r="S6" s="18">
        <f>IF(F6="","",IF(COUNTIF(F$4:F6,F6)=1,MAX(S$3:S5)+1,""))</f>
        <v/>
      </c>
    </row>
    <row r="7">
      <c r="A7" s="12" t="n"/>
      <c r="B7" s="13" t="n"/>
      <c r="C7" s="14" t="n"/>
      <c r="D7" s="15" t="n"/>
      <c r="E7" s="15" t="n"/>
      <c r="F7" s="15" t="n"/>
      <c r="G7" s="15" t="n"/>
      <c r="H7" s="16" t="n"/>
      <c r="I7" s="14" t="n"/>
      <c r="J7" s="17" t="n"/>
      <c r="K7" s="17">
        <f>IF(OR(H7="",J7=""),"",H7*J7)</f>
        <v/>
      </c>
      <c r="L7" s="12" t="n"/>
      <c r="M7" s="15" t="n"/>
      <c r="N7" s="15" t="n"/>
      <c r="O7" s="14" t="n"/>
      <c r="P7" s="14">
        <f>IF(OR(L7="",D7="",O7="납품완료",O7="취소"),"",IF(L7&lt;TODAY(),"지연",IF(L7-TODAY()&lt;=$L$1,"임박","")))</f>
        <v/>
      </c>
      <c r="Q7" s="14" t="n"/>
      <c r="R7" s="15" t="n"/>
      <c r="S7" s="18">
        <f>IF(F7="","",IF(COUNTIF(F$4:F7,F7)=1,MAX(S$3:S6)+1,""))</f>
        <v/>
      </c>
    </row>
    <row r="8">
      <c r="A8" s="12" t="n"/>
      <c r="B8" s="13" t="n"/>
      <c r="C8" s="14" t="n"/>
      <c r="D8" s="15" t="n"/>
      <c r="E8" s="15" t="n"/>
      <c r="F8" s="15" t="n"/>
      <c r="G8" s="15" t="n"/>
      <c r="H8" s="16" t="n"/>
      <c r="I8" s="14" t="n"/>
      <c r="J8" s="17" t="n"/>
      <c r="K8" s="17">
        <f>IF(OR(H8="",J8=""),"",H8*J8)</f>
        <v/>
      </c>
      <c r="L8" s="12" t="n"/>
      <c r="M8" s="15" t="n"/>
      <c r="N8" s="15" t="n"/>
      <c r="O8" s="14" t="n"/>
      <c r="P8" s="14">
        <f>IF(OR(L8="",D8="",O8="납품완료",O8="취소"),"",IF(L8&lt;TODAY(),"지연",IF(L8-TODAY()&lt;=$L$1,"임박","")))</f>
        <v/>
      </c>
      <c r="Q8" s="14" t="n"/>
      <c r="R8" s="15" t="n"/>
      <c r="S8" s="18">
        <f>IF(F8="","",IF(COUNTIF(F$4:F8,F8)=1,MAX(S$3:S7)+1,""))</f>
        <v/>
      </c>
    </row>
    <row r="9">
      <c r="A9" s="12" t="n"/>
      <c r="B9" s="13" t="n"/>
      <c r="C9" s="14" t="n"/>
      <c r="D9" s="15" t="n"/>
      <c r="E9" s="15" t="n"/>
      <c r="F9" s="15" t="n"/>
      <c r="G9" s="15" t="n"/>
      <c r="H9" s="16" t="n"/>
      <c r="I9" s="14" t="n"/>
      <c r="J9" s="17" t="n"/>
      <c r="K9" s="17">
        <f>IF(OR(H9="",J9=""),"",H9*J9)</f>
        <v/>
      </c>
      <c r="L9" s="12" t="n"/>
      <c r="M9" s="15" t="n"/>
      <c r="N9" s="15" t="n"/>
      <c r="O9" s="14" t="n"/>
      <c r="P9" s="14">
        <f>IF(OR(L9="",D9="",O9="납품완료",O9="취소"),"",IF(L9&lt;TODAY(),"지연",IF(L9-TODAY()&lt;=$L$1,"임박","")))</f>
        <v/>
      </c>
      <c r="Q9" s="14" t="n"/>
      <c r="R9" s="15" t="n"/>
      <c r="S9" s="18">
        <f>IF(F9="","",IF(COUNTIF(F$4:F9,F9)=1,MAX(S$3:S8)+1,""))</f>
        <v/>
      </c>
    </row>
    <row r="10">
      <c r="A10" s="12" t="n"/>
      <c r="B10" s="13" t="n"/>
      <c r="C10" s="14" t="n"/>
      <c r="D10" s="15" t="n"/>
      <c r="E10" s="15" t="n"/>
      <c r="F10" s="15" t="n"/>
      <c r="G10" s="15" t="n"/>
      <c r="H10" s="16" t="n"/>
      <c r="I10" s="14" t="n"/>
      <c r="J10" s="17" t="n"/>
      <c r="K10" s="17">
        <f>IF(OR(H10="",J10=""),"",H10*J10)</f>
        <v/>
      </c>
      <c r="L10" s="12" t="n"/>
      <c r="M10" s="15" t="n"/>
      <c r="N10" s="15" t="n"/>
      <c r="O10" s="14" t="n"/>
      <c r="P10" s="14">
        <f>IF(OR(L10="",D10="",O10="납품완료",O10="취소"),"",IF(L10&lt;TODAY(),"지연",IF(L10-TODAY()&lt;=$L$1,"임박","")))</f>
        <v/>
      </c>
      <c r="Q10" s="14" t="n"/>
      <c r="R10" s="15" t="n"/>
      <c r="S10" s="18">
        <f>IF(F10="","",IF(COUNTIF(F$4:F10,F10)=1,MAX(S$3:S9)+1,""))</f>
        <v/>
      </c>
    </row>
    <row r="11">
      <c r="A11" s="12" t="n"/>
      <c r="B11" s="13" t="n"/>
      <c r="C11" s="14" t="n"/>
      <c r="D11" s="15" t="n"/>
      <c r="E11" s="15" t="n"/>
      <c r="F11" s="15" t="n"/>
      <c r="G11" s="15" t="n"/>
      <c r="H11" s="16" t="n"/>
      <c r="I11" s="14" t="n"/>
      <c r="J11" s="17" t="n"/>
      <c r="K11" s="17">
        <f>IF(OR(H11="",J11=""),"",H11*J11)</f>
        <v/>
      </c>
      <c r="L11" s="12" t="n"/>
      <c r="M11" s="15" t="n"/>
      <c r="N11" s="15" t="n"/>
      <c r="O11" s="14" t="n"/>
      <c r="P11" s="14">
        <f>IF(OR(L11="",D11="",O11="납품완료",O11="취소"),"",IF(L11&lt;TODAY(),"지연",IF(L11-TODAY()&lt;=$L$1,"임박","")))</f>
        <v/>
      </c>
      <c r="Q11" s="14" t="n"/>
      <c r="R11" s="15" t="n"/>
      <c r="S11" s="18">
        <f>IF(F11="","",IF(COUNTIF(F$4:F11,F11)=1,MAX(S$3:S10)+1,""))</f>
        <v/>
      </c>
    </row>
    <row r="12">
      <c r="A12" s="12" t="n"/>
      <c r="B12" s="13" t="n"/>
      <c r="C12" s="14" t="n"/>
      <c r="D12" s="15" t="n"/>
      <c r="E12" s="15" t="n"/>
      <c r="F12" s="15" t="n"/>
      <c r="G12" s="15" t="n"/>
      <c r="H12" s="16" t="n"/>
      <c r="I12" s="14" t="n"/>
      <c r="J12" s="17" t="n"/>
      <c r="K12" s="17">
        <f>IF(OR(H12="",J12=""),"",H12*J12)</f>
        <v/>
      </c>
      <c r="L12" s="12" t="n"/>
      <c r="M12" s="15" t="n"/>
      <c r="N12" s="15" t="n"/>
      <c r="O12" s="14" t="n"/>
      <c r="P12" s="14">
        <f>IF(OR(L12="",D12="",O12="납품완료",O12="취소"),"",IF(L12&lt;TODAY(),"지연",IF(L12-TODAY()&lt;=$L$1,"임박","")))</f>
        <v/>
      </c>
      <c r="Q12" s="14" t="n"/>
      <c r="R12" s="15" t="n"/>
      <c r="S12" s="18">
        <f>IF(F12="","",IF(COUNTIF(F$4:F12,F12)=1,MAX(S$3:S11)+1,""))</f>
        <v/>
      </c>
    </row>
    <row r="13">
      <c r="A13" s="12" t="n"/>
      <c r="B13" s="13" t="n"/>
      <c r="C13" s="14" t="n"/>
      <c r="D13" s="15" t="n"/>
      <c r="E13" s="15" t="n"/>
      <c r="F13" s="15" t="n"/>
      <c r="G13" s="15" t="n"/>
      <c r="H13" s="16" t="n"/>
      <c r="I13" s="14" t="n"/>
      <c r="J13" s="17" t="n"/>
      <c r="K13" s="17">
        <f>IF(OR(H13="",J13=""),"",H13*J13)</f>
        <v/>
      </c>
      <c r="L13" s="12" t="n"/>
      <c r="M13" s="15" t="n"/>
      <c r="N13" s="15" t="n"/>
      <c r="O13" s="14" t="n"/>
      <c r="P13" s="14">
        <f>IF(OR(L13="",D13="",O13="납품완료",O13="취소"),"",IF(L13&lt;TODAY(),"지연",IF(L13-TODAY()&lt;=$L$1,"임박","")))</f>
        <v/>
      </c>
      <c r="Q13" s="14" t="n"/>
      <c r="R13" s="15" t="n"/>
      <c r="S13" s="18">
        <f>IF(F13="","",IF(COUNTIF(F$4:F13,F13)=1,MAX(S$3:S12)+1,""))</f>
        <v/>
      </c>
    </row>
    <row r="14">
      <c r="A14" s="12" t="n"/>
      <c r="B14" s="13" t="n"/>
      <c r="C14" s="14" t="n"/>
      <c r="D14" s="15" t="n"/>
      <c r="E14" s="15" t="n"/>
      <c r="F14" s="15" t="n"/>
      <c r="G14" s="15" t="n"/>
      <c r="H14" s="16" t="n"/>
      <c r="I14" s="14" t="n"/>
      <c r="J14" s="17" t="n"/>
      <c r="K14" s="17">
        <f>IF(OR(H14="",J14=""),"",H14*J14)</f>
        <v/>
      </c>
      <c r="L14" s="12" t="n"/>
      <c r="M14" s="15" t="n"/>
      <c r="N14" s="15" t="n"/>
      <c r="O14" s="14" t="n"/>
      <c r="P14" s="14">
        <f>IF(OR(L14="",D14="",O14="납품완료",O14="취소"),"",IF(L14&lt;TODAY(),"지연",IF(L14-TODAY()&lt;=$L$1,"임박","")))</f>
        <v/>
      </c>
      <c r="Q14" s="14" t="n"/>
      <c r="R14" s="15" t="n"/>
      <c r="S14" s="18">
        <f>IF(F14="","",IF(COUNTIF(F$4:F14,F14)=1,MAX(S$3:S13)+1,""))</f>
        <v/>
      </c>
    </row>
    <row r="15">
      <c r="A15" s="12" t="n"/>
      <c r="B15" s="13" t="n"/>
      <c r="C15" s="14" t="n"/>
      <c r="D15" s="15" t="n"/>
      <c r="E15" s="15" t="n"/>
      <c r="F15" s="15" t="n"/>
      <c r="G15" s="15" t="n"/>
      <c r="H15" s="16" t="n"/>
      <c r="I15" s="14" t="n"/>
      <c r="J15" s="17" t="n"/>
      <c r="K15" s="17">
        <f>IF(OR(H15="",J15=""),"",H15*J15)</f>
        <v/>
      </c>
      <c r="L15" s="12" t="n"/>
      <c r="M15" s="15" t="n"/>
      <c r="N15" s="15" t="n"/>
      <c r="O15" s="14" t="n"/>
      <c r="P15" s="14">
        <f>IF(OR(L15="",D15="",O15="납품완료",O15="취소"),"",IF(L15&lt;TODAY(),"지연",IF(L15-TODAY()&lt;=$L$1,"임박","")))</f>
        <v/>
      </c>
      <c r="Q15" s="14" t="n"/>
      <c r="R15" s="15" t="n"/>
      <c r="S15" s="18">
        <f>IF(F15="","",IF(COUNTIF(F$4:F15,F15)=1,MAX(S$3:S14)+1,""))</f>
        <v/>
      </c>
    </row>
    <row r="16">
      <c r="A16" s="12" t="n"/>
      <c r="B16" s="13" t="n"/>
      <c r="C16" s="14" t="n"/>
      <c r="D16" s="15" t="n"/>
      <c r="E16" s="15" t="n"/>
      <c r="F16" s="15" t="n"/>
      <c r="G16" s="15" t="n"/>
      <c r="H16" s="16" t="n"/>
      <c r="I16" s="14" t="n"/>
      <c r="J16" s="17" t="n"/>
      <c r="K16" s="17">
        <f>IF(OR(H16="",J16=""),"",H16*J16)</f>
        <v/>
      </c>
      <c r="L16" s="12" t="n"/>
      <c r="M16" s="15" t="n"/>
      <c r="N16" s="15" t="n"/>
      <c r="O16" s="14" t="n"/>
      <c r="P16" s="14">
        <f>IF(OR(L16="",D16="",O16="납품완료",O16="취소"),"",IF(L16&lt;TODAY(),"지연",IF(L16-TODAY()&lt;=$L$1,"임박","")))</f>
        <v/>
      </c>
      <c r="Q16" s="14" t="n"/>
      <c r="R16" s="15" t="n"/>
      <c r="S16" s="18">
        <f>IF(F16="","",IF(COUNTIF(F$4:F16,F16)=1,MAX(S$3:S15)+1,""))</f>
        <v/>
      </c>
    </row>
    <row r="17">
      <c r="A17" s="12" t="n"/>
      <c r="B17" s="13" t="n"/>
      <c r="C17" s="14" t="n"/>
      <c r="D17" s="15" t="n"/>
      <c r="E17" s="15" t="n"/>
      <c r="F17" s="15" t="n"/>
      <c r="G17" s="15" t="n"/>
      <c r="H17" s="16" t="n"/>
      <c r="I17" s="14" t="n"/>
      <c r="J17" s="17" t="n"/>
      <c r="K17" s="17">
        <f>IF(OR(H17="",J17=""),"",H17*J17)</f>
        <v/>
      </c>
      <c r="L17" s="12" t="n"/>
      <c r="M17" s="15" t="n"/>
      <c r="N17" s="15" t="n"/>
      <c r="O17" s="14" t="n"/>
      <c r="P17" s="14">
        <f>IF(OR(L17="",D17="",O17="납품완료",O17="취소"),"",IF(L17&lt;TODAY(),"지연",IF(L17-TODAY()&lt;=$L$1,"임박","")))</f>
        <v/>
      </c>
      <c r="Q17" s="14" t="n"/>
      <c r="R17" s="15" t="n"/>
      <c r="S17" s="18">
        <f>IF(F17="","",IF(COUNTIF(F$4:F17,F17)=1,MAX(S$3:S16)+1,""))</f>
        <v/>
      </c>
    </row>
    <row r="18">
      <c r="A18" s="12" t="n"/>
      <c r="B18" s="13" t="n"/>
      <c r="C18" s="14" t="n"/>
      <c r="D18" s="15" t="n"/>
      <c r="E18" s="15" t="n"/>
      <c r="F18" s="15" t="n"/>
      <c r="G18" s="15" t="n"/>
      <c r="H18" s="16" t="n"/>
      <c r="I18" s="14" t="n"/>
      <c r="J18" s="17" t="n"/>
      <c r="K18" s="17">
        <f>IF(OR(H18="",J18=""),"",H18*J18)</f>
        <v/>
      </c>
      <c r="L18" s="12" t="n"/>
      <c r="M18" s="15" t="n"/>
      <c r="N18" s="15" t="n"/>
      <c r="O18" s="14" t="n"/>
      <c r="P18" s="14">
        <f>IF(OR(L18="",D18="",O18="납품완료",O18="취소"),"",IF(L18&lt;TODAY(),"지연",IF(L18-TODAY()&lt;=$L$1,"임박","")))</f>
        <v/>
      </c>
      <c r="Q18" s="14" t="n"/>
      <c r="R18" s="15" t="n"/>
      <c r="S18" s="18">
        <f>IF(F18="","",IF(COUNTIF(F$4:F18,F18)=1,MAX(S$3:S17)+1,""))</f>
        <v/>
      </c>
    </row>
    <row r="19">
      <c r="A19" s="12" t="n"/>
      <c r="B19" s="13" t="n"/>
      <c r="C19" s="14" t="n"/>
      <c r="D19" s="15" t="n"/>
      <c r="E19" s="15" t="n"/>
      <c r="F19" s="15" t="n"/>
      <c r="G19" s="15" t="n"/>
      <c r="H19" s="16" t="n"/>
      <c r="I19" s="14" t="n"/>
      <c r="J19" s="17" t="n"/>
      <c r="K19" s="17">
        <f>IF(OR(H19="",J19=""),"",H19*J19)</f>
        <v/>
      </c>
      <c r="L19" s="12" t="n"/>
      <c r="M19" s="15" t="n"/>
      <c r="N19" s="15" t="n"/>
      <c r="O19" s="14" t="n"/>
      <c r="P19" s="14">
        <f>IF(OR(L19="",D19="",O19="납품완료",O19="취소"),"",IF(L19&lt;TODAY(),"지연",IF(L19-TODAY()&lt;=$L$1,"임박","")))</f>
        <v/>
      </c>
      <c r="Q19" s="14" t="n"/>
      <c r="R19" s="15" t="n"/>
      <c r="S19" s="18">
        <f>IF(F19="","",IF(COUNTIF(F$4:F19,F19)=1,MAX(S$3:S18)+1,""))</f>
        <v/>
      </c>
    </row>
    <row r="20">
      <c r="A20" s="12" t="n"/>
      <c r="B20" s="13" t="n"/>
      <c r="C20" s="14" t="n"/>
      <c r="D20" s="15" t="n"/>
      <c r="E20" s="15" t="n"/>
      <c r="F20" s="15" t="n"/>
      <c r="G20" s="15" t="n"/>
      <c r="H20" s="16" t="n"/>
      <c r="I20" s="14" t="n"/>
      <c r="J20" s="17" t="n"/>
      <c r="K20" s="17">
        <f>IF(OR(H20="",J20=""),"",H20*J20)</f>
        <v/>
      </c>
      <c r="L20" s="12" t="n"/>
      <c r="M20" s="15" t="n"/>
      <c r="N20" s="15" t="n"/>
      <c r="O20" s="14" t="n"/>
      <c r="P20" s="14">
        <f>IF(OR(L20="",D20="",O20="납품완료",O20="취소"),"",IF(L20&lt;TODAY(),"지연",IF(L20-TODAY()&lt;=$L$1,"임박","")))</f>
        <v/>
      </c>
      <c r="Q20" s="14" t="n"/>
      <c r="R20" s="15" t="n"/>
      <c r="S20" s="18">
        <f>IF(F20="","",IF(COUNTIF(F$4:F20,F20)=1,MAX(S$3:S19)+1,""))</f>
        <v/>
      </c>
    </row>
    <row r="21">
      <c r="A21" s="12" t="n"/>
      <c r="B21" s="13" t="n"/>
      <c r="C21" s="14" t="n"/>
      <c r="D21" s="15" t="n"/>
      <c r="E21" s="15" t="n"/>
      <c r="F21" s="15" t="n"/>
      <c r="G21" s="15" t="n"/>
      <c r="H21" s="16" t="n"/>
      <c r="I21" s="14" t="n"/>
      <c r="J21" s="17" t="n"/>
      <c r="K21" s="17">
        <f>IF(OR(H21="",J21=""),"",H21*J21)</f>
        <v/>
      </c>
      <c r="L21" s="12" t="n"/>
      <c r="M21" s="15" t="n"/>
      <c r="N21" s="15" t="n"/>
      <c r="O21" s="14" t="n"/>
      <c r="P21" s="14">
        <f>IF(OR(L21="",D21="",O21="납품완료",O21="취소"),"",IF(L21&lt;TODAY(),"지연",IF(L21-TODAY()&lt;=$L$1,"임박","")))</f>
        <v/>
      </c>
      <c r="Q21" s="14" t="n"/>
      <c r="R21" s="15" t="n"/>
      <c r="S21" s="18">
        <f>IF(F21="","",IF(COUNTIF(F$4:F21,F21)=1,MAX(S$3:S20)+1,""))</f>
        <v/>
      </c>
    </row>
    <row r="22">
      <c r="A22" s="12" t="n"/>
      <c r="B22" s="13" t="n"/>
      <c r="C22" s="14" t="n"/>
      <c r="D22" s="15" t="n"/>
      <c r="E22" s="15" t="n"/>
      <c r="F22" s="15" t="n"/>
      <c r="G22" s="15" t="n"/>
      <c r="H22" s="16" t="n"/>
      <c r="I22" s="14" t="n"/>
      <c r="J22" s="17" t="n"/>
      <c r="K22" s="17">
        <f>IF(OR(H22="",J22=""),"",H22*J22)</f>
        <v/>
      </c>
      <c r="L22" s="12" t="n"/>
      <c r="M22" s="15" t="n"/>
      <c r="N22" s="15" t="n"/>
      <c r="O22" s="14" t="n"/>
      <c r="P22" s="14">
        <f>IF(OR(L22="",D22="",O22="납품완료",O22="취소"),"",IF(L22&lt;TODAY(),"지연",IF(L22-TODAY()&lt;=$L$1,"임박","")))</f>
        <v/>
      </c>
      <c r="Q22" s="14" t="n"/>
      <c r="R22" s="15" t="n"/>
      <c r="S22" s="18">
        <f>IF(F22="","",IF(COUNTIF(F$4:F22,F22)=1,MAX(S$3:S21)+1,""))</f>
        <v/>
      </c>
    </row>
    <row r="23">
      <c r="A23" s="12" t="n"/>
      <c r="B23" s="13" t="n"/>
      <c r="C23" s="14" t="n"/>
      <c r="D23" s="15" t="n"/>
      <c r="E23" s="15" t="n"/>
      <c r="F23" s="15" t="n"/>
      <c r="G23" s="15" t="n"/>
      <c r="H23" s="16" t="n"/>
      <c r="I23" s="14" t="n"/>
      <c r="J23" s="17" t="n"/>
      <c r="K23" s="17">
        <f>IF(OR(H23="",J23=""),"",H23*J23)</f>
        <v/>
      </c>
      <c r="L23" s="12" t="n"/>
      <c r="M23" s="15" t="n"/>
      <c r="N23" s="15" t="n"/>
      <c r="O23" s="14" t="n"/>
      <c r="P23" s="14">
        <f>IF(OR(L23="",D23="",O23="납품완료",O23="취소"),"",IF(L23&lt;TODAY(),"지연",IF(L23-TODAY()&lt;=$L$1,"임박","")))</f>
        <v/>
      </c>
      <c r="Q23" s="14" t="n"/>
      <c r="R23" s="15" t="n"/>
      <c r="S23" s="18">
        <f>IF(F23="","",IF(COUNTIF(F$4:F23,F23)=1,MAX(S$3:S22)+1,""))</f>
        <v/>
      </c>
    </row>
    <row r="24">
      <c r="A24" s="12" t="n"/>
      <c r="B24" s="13" t="n"/>
      <c r="C24" s="14" t="n"/>
      <c r="D24" s="15" t="n"/>
      <c r="E24" s="15" t="n"/>
      <c r="F24" s="15" t="n"/>
      <c r="G24" s="15" t="n"/>
      <c r="H24" s="16" t="n"/>
      <c r="I24" s="14" t="n"/>
      <c r="J24" s="17" t="n"/>
      <c r="K24" s="17">
        <f>IF(OR(H24="",J24=""),"",H24*J24)</f>
        <v/>
      </c>
      <c r="L24" s="12" t="n"/>
      <c r="M24" s="15" t="n"/>
      <c r="N24" s="15" t="n"/>
      <c r="O24" s="14" t="n"/>
      <c r="P24" s="14">
        <f>IF(OR(L24="",D24="",O24="납품완료",O24="취소"),"",IF(L24&lt;TODAY(),"지연",IF(L24-TODAY()&lt;=$L$1,"임박","")))</f>
        <v/>
      </c>
      <c r="Q24" s="14" t="n"/>
      <c r="R24" s="15" t="n"/>
      <c r="S24" s="18">
        <f>IF(F24="","",IF(COUNTIF(F$4:F24,F24)=1,MAX(S$3:S23)+1,""))</f>
        <v/>
      </c>
    </row>
    <row r="25">
      <c r="A25" s="12" t="n"/>
      <c r="B25" s="13" t="n"/>
      <c r="C25" s="14" t="n"/>
      <c r="D25" s="15" t="n"/>
      <c r="E25" s="15" t="n"/>
      <c r="F25" s="15" t="n"/>
      <c r="G25" s="15" t="n"/>
      <c r="H25" s="16" t="n"/>
      <c r="I25" s="14" t="n"/>
      <c r="J25" s="17" t="n"/>
      <c r="K25" s="17">
        <f>IF(OR(H25="",J25=""),"",H25*J25)</f>
        <v/>
      </c>
      <c r="L25" s="12" t="n"/>
      <c r="M25" s="15" t="n"/>
      <c r="N25" s="15" t="n"/>
      <c r="O25" s="14" t="n"/>
      <c r="P25" s="14">
        <f>IF(OR(L25="",D25="",O25="납품완료",O25="취소"),"",IF(L25&lt;TODAY(),"지연",IF(L25-TODAY()&lt;=$L$1,"임박","")))</f>
        <v/>
      </c>
      <c r="Q25" s="14" t="n"/>
      <c r="R25" s="15" t="n"/>
      <c r="S25" s="18">
        <f>IF(F25="","",IF(COUNTIF(F$4:F25,F25)=1,MAX(S$3:S24)+1,""))</f>
        <v/>
      </c>
    </row>
    <row r="26">
      <c r="A26" s="12" t="n"/>
      <c r="B26" s="13" t="n"/>
      <c r="C26" s="14" t="n"/>
      <c r="D26" s="15" t="n"/>
      <c r="E26" s="15" t="n"/>
      <c r="F26" s="15" t="n"/>
      <c r="G26" s="15" t="n"/>
      <c r="H26" s="16" t="n"/>
      <c r="I26" s="14" t="n"/>
      <c r="J26" s="17" t="n"/>
      <c r="K26" s="17">
        <f>IF(OR(H26="",J26=""),"",H26*J26)</f>
        <v/>
      </c>
      <c r="L26" s="12" t="n"/>
      <c r="M26" s="15" t="n"/>
      <c r="N26" s="15" t="n"/>
      <c r="O26" s="14" t="n"/>
      <c r="P26" s="14">
        <f>IF(OR(L26="",D26="",O26="납품완료",O26="취소"),"",IF(L26&lt;TODAY(),"지연",IF(L26-TODAY()&lt;=$L$1,"임박","")))</f>
        <v/>
      </c>
      <c r="Q26" s="14" t="n"/>
      <c r="R26" s="15" t="n"/>
      <c r="S26" s="18">
        <f>IF(F26="","",IF(COUNTIF(F$4:F26,F26)=1,MAX(S$3:S25)+1,""))</f>
        <v/>
      </c>
    </row>
    <row r="27">
      <c r="A27" s="12" t="n"/>
      <c r="B27" s="13" t="n"/>
      <c r="C27" s="14" t="n"/>
      <c r="D27" s="15" t="n"/>
      <c r="E27" s="15" t="n"/>
      <c r="F27" s="15" t="n"/>
      <c r="G27" s="15" t="n"/>
      <c r="H27" s="16" t="n"/>
      <c r="I27" s="14" t="n"/>
      <c r="J27" s="17" t="n"/>
      <c r="K27" s="17">
        <f>IF(OR(H27="",J27=""),"",H27*J27)</f>
        <v/>
      </c>
      <c r="L27" s="12" t="n"/>
      <c r="M27" s="15" t="n"/>
      <c r="N27" s="15" t="n"/>
      <c r="O27" s="14" t="n"/>
      <c r="P27" s="14">
        <f>IF(OR(L27="",D27="",O27="납품완료",O27="취소"),"",IF(L27&lt;TODAY(),"지연",IF(L27-TODAY()&lt;=$L$1,"임박","")))</f>
        <v/>
      </c>
      <c r="Q27" s="14" t="n"/>
      <c r="R27" s="15" t="n"/>
      <c r="S27" s="18">
        <f>IF(F27="","",IF(COUNTIF(F$4:F27,F27)=1,MAX(S$3:S26)+1,""))</f>
        <v/>
      </c>
    </row>
    <row r="28">
      <c r="A28" s="12" t="n"/>
      <c r="B28" s="13" t="n"/>
      <c r="C28" s="14" t="n"/>
      <c r="D28" s="15" t="n"/>
      <c r="E28" s="15" t="n"/>
      <c r="F28" s="15" t="n"/>
      <c r="G28" s="15" t="n"/>
      <c r="H28" s="16" t="n"/>
      <c r="I28" s="14" t="n"/>
      <c r="J28" s="17" t="n"/>
      <c r="K28" s="17">
        <f>IF(OR(H28="",J28=""),"",H28*J28)</f>
        <v/>
      </c>
      <c r="L28" s="12" t="n"/>
      <c r="M28" s="15" t="n"/>
      <c r="N28" s="15" t="n"/>
      <c r="O28" s="14" t="n"/>
      <c r="P28" s="14">
        <f>IF(OR(L28="",D28="",O28="납품완료",O28="취소"),"",IF(L28&lt;TODAY(),"지연",IF(L28-TODAY()&lt;=$L$1,"임박","")))</f>
        <v/>
      </c>
      <c r="Q28" s="14" t="n"/>
      <c r="R28" s="15" t="n"/>
      <c r="S28" s="18">
        <f>IF(F28="","",IF(COUNTIF(F$4:F28,F28)=1,MAX(S$3:S27)+1,""))</f>
        <v/>
      </c>
    </row>
    <row r="29">
      <c r="A29" s="12" t="n"/>
      <c r="B29" s="13" t="n"/>
      <c r="C29" s="14" t="n"/>
      <c r="D29" s="15" t="n"/>
      <c r="E29" s="15" t="n"/>
      <c r="F29" s="15" t="n"/>
      <c r="G29" s="15" t="n"/>
      <c r="H29" s="16" t="n"/>
      <c r="I29" s="14" t="n"/>
      <c r="J29" s="17" t="n"/>
      <c r="K29" s="17">
        <f>IF(OR(H29="",J29=""),"",H29*J29)</f>
        <v/>
      </c>
      <c r="L29" s="12" t="n"/>
      <c r="M29" s="15" t="n"/>
      <c r="N29" s="15" t="n"/>
      <c r="O29" s="14" t="n"/>
      <c r="P29" s="14">
        <f>IF(OR(L29="",D29="",O29="납품완료",O29="취소"),"",IF(L29&lt;TODAY(),"지연",IF(L29-TODAY()&lt;=$L$1,"임박","")))</f>
        <v/>
      </c>
      <c r="Q29" s="14" t="n"/>
      <c r="R29" s="15" t="n"/>
      <c r="S29" s="18">
        <f>IF(F29="","",IF(COUNTIF(F$4:F29,F29)=1,MAX(S$3:S28)+1,""))</f>
        <v/>
      </c>
    </row>
    <row r="30">
      <c r="A30" s="12" t="n"/>
      <c r="B30" s="13" t="n"/>
      <c r="C30" s="14" t="n"/>
      <c r="D30" s="15" t="n"/>
      <c r="E30" s="15" t="n"/>
      <c r="F30" s="15" t="n"/>
      <c r="G30" s="15" t="n"/>
      <c r="H30" s="16" t="n"/>
      <c r="I30" s="14" t="n"/>
      <c r="J30" s="17" t="n"/>
      <c r="K30" s="17">
        <f>IF(OR(H30="",J30=""),"",H30*J30)</f>
        <v/>
      </c>
      <c r="L30" s="12" t="n"/>
      <c r="M30" s="15" t="n"/>
      <c r="N30" s="15" t="n"/>
      <c r="O30" s="14" t="n"/>
      <c r="P30" s="14">
        <f>IF(OR(L30="",D30="",O30="납품완료",O30="취소"),"",IF(L30&lt;TODAY(),"지연",IF(L30-TODAY()&lt;=$L$1,"임박","")))</f>
        <v/>
      </c>
      <c r="Q30" s="14" t="n"/>
      <c r="R30" s="15" t="n"/>
      <c r="S30" s="18">
        <f>IF(F30="","",IF(COUNTIF(F$4:F30,F30)=1,MAX(S$3:S29)+1,""))</f>
        <v/>
      </c>
    </row>
    <row r="31">
      <c r="A31" s="12" t="n"/>
      <c r="B31" s="13" t="n"/>
      <c r="C31" s="14" t="n"/>
      <c r="D31" s="15" t="n"/>
      <c r="E31" s="15" t="n"/>
      <c r="F31" s="15" t="n"/>
      <c r="G31" s="15" t="n"/>
      <c r="H31" s="16" t="n"/>
      <c r="I31" s="14" t="n"/>
      <c r="J31" s="17" t="n"/>
      <c r="K31" s="17">
        <f>IF(OR(H31="",J31=""),"",H31*J31)</f>
        <v/>
      </c>
      <c r="L31" s="12" t="n"/>
      <c r="M31" s="15" t="n"/>
      <c r="N31" s="15" t="n"/>
      <c r="O31" s="14" t="n"/>
      <c r="P31" s="14">
        <f>IF(OR(L31="",D31="",O31="납품완료",O31="취소"),"",IF(L31&lt;TODAY(),"지연",IF(L31-TODAY()&lt;=$L$1,"임박","")))</f>
        <v/>
      </c>
      <c r="Q31" s="14" t="n"/>
      <c r="R31" s="15" t="n"/>
      <c r="S31" s="18">
        <f>IF(F31="","",IF(COUNTIF(F$4:F31,F31)=1,MAX(S$3:S30)+1,""))</f>
        <v/>
      </c>
    </row>
    <row r="32">
      <c r="A32" s="12" t="n"/>
      <c r="B32" s="13" t="n"/>
      <c r="C32" s="14" t="n"/>
      <c r="D32" s="15" t="n"/>
      <c r="E32" s="15" t="n"/>
      <c r="F32" s="15" t="n"/>
      <c r="G32" s="15" t="n"/>
      <c r="H32" s="16" t="n"/>
      <c r="I32" s="14" t="n"/>
      <c r="J32" s="17" t="n"/>
      <c r="K32" s="17">
        <f>IF(OR(H32="",J32=""),"",H32*J32)</f>
        <v/>
      </c>
      <c r="L32" s="12" t="n"/>
      <c r="M32" s="15" t="n"/>
      <c r="N32" s="15" t="n"/>
      <c r="O32" s="14" t="n"/>
      <c r="P32" s="14">
        <f>IF(OR(L32="",D32="",O32="납품완료",O32="취소"),"",IF(L32&lt;TODAY(),"지연",IF(L32-TODAY()&lt;=$L$1,"임박","")))</f>
        <v/>
      </c>
      <c r="Q32" s="14" t="n"/>
      <c r="R32" s="15" t="n"/>
      <c r="S32" s="18">
        <f>IF(F32="","",IF(COUNTIF(F$4:F32,F32)=1,MAX(S$3:S31)+1,""))</f>
        <v/>
      </c>
    </row>
    <row r="33">
      <c r="A33" s="12" t="n"/>
      <c r="B33" s="13" t="n"/>
      <c r="C33" s="14" t="n"/>
      <c r="D33" s="15" t="n"/>
      <c r="E33" s="15" t="n"/>
      <c r="F33" s="15" t="n"/>
      <c r="G33" s="15" t="n"/>
      <c r="H33" s="16" t="n"/>
      <c r="I33" s="14" t="n"/>
      <c r="J33" s="17" t="n"/>
      <c r="K33" s="17">
        <f>IF(OR(H33="",J33=""),"",H33*J33)</f>
        <v/>
      </c>
      <c r="L33" s="12" t="n"/>
      <c r="M33" s="15" t="n"/>
      <c r="N33" s="15" t="n"/>
      <c r="O33" s="14" t="n"/>
      <c r="P33" s="14">
        <f>IF(OR(L33="",D33="",O33="납품완료",O33="취소"),"",IF(L33&lt;TODAY(),"지연",IF(L33-TODAY()&lt;=$L$1,"임박","")))</f>
        <v/>
      </c>
      <c r="Q33" s="14" t="n"/>
      <c r="R33" s="15" t="n"/>
      <c r="S33" s="18">
        <f>IF(F33="","",IF(COUNTIF(F$4:F33,F33)=1,MAX(S$3:S32)+1,""))</f>
        <v/>
      </c>
    </row>
    <row r="34">
      <c r="A34" s="12" t="n"/>
      <c r="B34" s="13" t="n"/>
      <c r="C34" s="14" t="n"/>
      <c r="D34" s="15" t="n"/>
      <c r="E34" s="15" t="n"/>
      <c r="F34" s="15" t="n"/>
      <c r="G34" s="15" t="n"/>
      <c r="H34" s="16" t="n"/>
      <c r="I34" s="14" t="n"/>
      <c r="J34" s="17" t="n"/>
      <c r="K34" s="17">
        <f>IF(OR(H34="",J34=""),"",H34*J34)</f>
        <v/>
      </c>
      <c r="L34" s="12" t="n"/>
      <c r="M34" s="15" t="n"/>
      <c r="N34" s="15" t="n"/>
      <c r="O34" s="14" t="n"/>
      <c r="P34" s="14">
        <f>IF(OR(L34="",D34="",O34="납품완료",O34="취소"),"",IF(L34&lt;TODAY(),"지연",IF(L34-TODAY()&lt;=$L$1,"임박","")))</f>
        <v/>
      </c>
      <c r="Q34" s="14" t="n"/>
      <c r="R34" s="15" t="n"/>
      <c r="S34" s="18">
        <f>IF(F34="","",IF(COUNTIF(F$4:F34,F34)=1,MAX(S$3:S33)+1,""))</f>
        <v/>
      </c>
    </row>
    <row r="35">
      <c r="A35" s="12" t="n"/>
      <c r="B35" s="13" t="n"/>
      <c r="C35" s="14" t="n"/>
      <c r="D35" s="15" t="n"/>
      <c r="E35" s="15" t="n"/>
      <c r="F35" s="15" t="n"/>
      <c r="G35" s="15" t="n"/>
      <c r="H35" s="16" t="n"/>
      <c r="I35" s="14" t="n"/>
      <c r="J35" s="17" t="n"/>
      <c r="K35" s="17">
        <f>IF(OR(H35="",J35=""),"",H35*J35)</f>
        <v/>
      </c>
      <c r="L35" s="12" t="n"/>
      <c r="M35" s="15" t="n"/>
      <c r="N35" s="15" t="n"/>
      <c r="O35" s="14" t="n"/>
      <c r="P35" s="14">
        <f>IF(OR(L35="",D35="",O35="납품완료",O35="취소"),"",IF(L35&lt;TODAY(),"지연",IF(L35-TODAY()&lt;=$L$1,"임박","")))</f>
        <v/>
      </c>
      <c r="Q35" s="14" t="n"/>
      <c r="R35" s="15" t="n"/>
      <c r="S35" s="18">
        <f>IF(F35="","",IF(COUNTIF(F$4:F35,F35)=1,MAX(S$3:S34)+1,""))</f>
        <v/>
      </c>
    </row>
    <row r="36">
      <c r="A36" s="12" t="n"/>
      <c r="B36" s="13" t="n"/>
      <c r="C36" s="14" t="n"/>
      <c r="D36" s="15" t="n"/>
      <c r="E36" s="15" t="n"/>
      <c r="F36" s="15" t="n"/>
      <c r="G36" s="15" t="n"/>
      <c r="H36" s="16" t="n"/>
      <c r="I36" s="14" t="n"/>
      <c r="J36" s="17" t="n"/>
      <c r="K36" s="17">
        <f>IF(OR(H36="",J36=""),"",H36*J36)</f>
        <v/>
      </c>
      <c r="L36" s="12" t="n"/>
      <c r="M36" s="15" t="n"/>
      <c r="N36" s="15" t="n"/>
      <c r="O36" s="14" t="n"/>
      <c r="P36" s="14">
        <f>IF(OR(L36="",D36="",O36="납품완료",O36="취소"),"",IF(L36&lt;TODAY(),"지연",IF(L36-TODAY()&lt;=$L$1,"임박","")))</f>
        <v/>
      </c>
      <c r="Q36" s="14" t="n"/>
      <c r="R36" s="15" t="n"/>
      <c r="S36" s="18">
        <f>IF(F36="","",IF(COUNTIF(F$4:F36,F36)=1,MAX(S$3:S35)+1,""))</f>
        <v/>
      </c>
    </row>
    <row r="37">
      <c r="A37" s="12" t="n"/>
      <c r="B37" s="13" t="n"/>
      <c r="C37" s="14" t="n"/>
      <c r="D37" s="15" t="n"/>
      <c r="E37" s="15" t="n"/>
      <c r="F37" s="15" t="n"/>
      <c r="G37" s="15" t="n"/>
      <c r="H37" s="16" t="n"/>
      <c r="I37" s="14" t="n"/>
      <c r="J37" s="17" t="n"/>
      <c r="K37" s="17">
        <f>IF(OR(H37="",J37=""),"",H37*J37)</f>
        <v/>
      </c>
      <c r="L37" s="12" t="n"/>
      <c r="M37" s="15" t="n"/>
      <c r="N37" s="15" t="n"/>
      <c r="O37" s="14" t="n"/>
      <c r="P37" s="14">
        <f>IF(OR(L37="",D37="",O37="납품완료",O37="취소"),"",IF(L37&lt;TODAY(),"지연",IF(L37-TODAY()&lt;=$L$1,"임박","")))</f>
        <v/>
      </c>
      <c r="Q37" s="14" t="n"/>
      <c r="R37" s="15" t="n"/>
      <c r="S37" s="18">
        <f>IF(F37="","",IF(COUNTIF(F$4:F37,F37)=1,MAX(S$3:S36)+1,""))</f>
        <v/>
      </c>
    </row>
    <row r="38">
      <c r="A38" s="12" t="n"/>
      <c r="B38" s="13" t="n"/>
      <c r="C38" s="14" t="n"/>
      <c r="D38" s="15" t="n"/>
      <c r="E38" s="15" t="n"/>
      <c r="F38" s="15" t="n"/>
      <c r="G38" s="15" t="n"/>
      <c r="H38" s="16" t="n"/>
      <c r="I38" s="14" t="n"/>
      <c r="J38" s="17" t="n"/>
      <c r="K38" s="17">
        <f>IF(OR(H38="",J38=""),"",H38*J38)</f>
        <v/>
      </c>
      <c r="L38" s="12" t="n"/>
      <c r="M38" s="15" t="n"/>
      <c r="N38" s="15" t="n"/>
      <c r="O38" s="14" t="n"/>
      <c r="P38" s="14">
        <f>IF(OR(L38="",D38="",O38="납품완료",O38="취소"),"",IF(L38&lt;TODAY(),"지연",IF(L38-TODAY()&lt;=$L$1,"임박","")))</f>
        <v/>
      </c>
      <c r="Q38" s="14" t="n"/>
      <c r="R38" s="15" t="n"/>
      <c r="S38" s="18">
        <f>IF(F38="","",IF(COUNTIF(F$4:F38,F38)=1,MAX(S$3:S37)+1,""))</f>
        <v/>
      </c>
    </row>
    <row r="39">
      <c r="A39" s="12" t="n"/>
      <c r="B39" s="13" t="n"/>
      <c r="C39" s="14" t="n"/>
      <c r="D39" s="15" t="n"/>
      <c r="E39" s="15" t="n"/>
      <c r="F39" s="15" t="n"/>
      <c r="G39" s="15" t="n"/>
      <c r="H39" s="16" t="n"/>
      <c r="I39" s="14" t="n"/>
      <c r="J39" s="17" t="n"/>
      <c r="K39" s="17">
        <f>IF(OR(H39="",J39=""),"",H39*J39)</f>
        <v/>
      </c>
      <c r="L39" s="12" t="n"/>
      <c r="M39" s="15" t="n"/>
      <c r="N39" s="15" t="n"/>
      <c r="O39" s="14" t="n"/>
      <c r="P39" s="14">
        <f>IF(OR(L39="",D39="",O39="납품완료",O39="취소"),"",IF(L39&lt;TODAY(),"지연",IF(L39-TODAY()&lt;=$L$1,"임박","")))</f>
        <v/>
      </c>
      <c r="Q39" s="14" t="n"/>
      <c r="R39" s="15" t="n"/>
      <c r="S39" s="18">
        <f>IF(F39="","",IF(COUNTIF(F$4:F39,F39)=1,MAX(S$3:S38)+1,""))</f>
        <v/>
      </c>
    </row>
    <row r="40">
      <c r="A40" s="12" t="n"/>
      <c r="B40" s="13" t="n"/>
      <c r="C40" s="14" t="n"/>
      <c r="D40" s="15" t="n"/>
      <c r="E40" s="15" t="n"/>
      <c r="F40" s="15" t="n"/>
      <c r="G40" s="15" t="n"/>
      <c r="H40" s="16" t="n"/>
      <c r="I40" s="14" t="n"/>
      <c r="J40" s="17" t="n"/>
      <c r="K40" s="17">
        <f>IF(OR(H40="",J40=""),"",H40*J40)</f>
        <v/>
      </c>
      <c r="L40" s="12" t="n"/>
      <c r="M40" s="15" t="n"/>
      <c r="N40" s="15" t="n"/>
      <c r="O40" s="14" t="n"/>
      <c r="P40" s="14">
        <f>IF(OR(L40="",D40="",O40="납품완료",O40="취소"),"",IF(L40&lt;TODAY(),"지연",IF(L40-TODAY()&lt;=$L$1,"임박","")))</f>
        <v/>
      </c>
      <c r="Q40" s="14" t="n"/>
      <c r="R40" s="15" t="n"/>
      <c r="S40" s="18">
        <f>IF(F40="","",IF(COUNTIF(F$4:F40,F40)=1,MAX(S$3:S39)+1,""))</f>
        <v/>
      </c>
    </row>
    <row r="41">
      <c r="A41" s="12" t="n"/>
      <c r="B41" s="13" t="n"/>
      <c r="C41" s="14" t="n"/>
      <c r="D41" s="15" t="n"/>
      <c r="E41" s="15" t="n"/>
      <c r="F41" s="15" t="n"/>
      <c r="G41" s="15" t="n"/>
      <c r="H41" s="16" t="n"/>
      <c r="I41" s="14" t="n"/>
      <c r="J41" s="17" t="n"/>
      <c r="K41" s="17">
        <f>IF(OR(H41="",J41=""),"",H41*J41)</f>
        <v/>
      </c>
      <c r="L41" s="12" t="n"/>
      <c r="M41" s="15" t="n"/>
      <c r="N41" s="15" t="n"/>
      <c r="O41" s="14" t="n"/>
      <c r="P41" s="14">
        <f>IF(OR(L41="",D41="",O41="납품완료",O41="취소"),"",IF(L41&lt;TODAY(),"지연",IF(L41-TODAY()&lt;=$L$1,"임박","")))</f>
        <v/>
      </c>
      <c r="Q41" s="14" t="n"/>
      <c r="R41" s="15" t="n"/>
      <c r="S41" s="18">
        <f>IF(F41="","",IF(COUNTIF(F$4:F41,F41)=1,MAX(S$3:S40)+1,""))</f>
        <v/>
      </c>
    </row>
    <row r="42">
      <c r="A42" s="12" t="n"/>
      <c r="B42" s="13" t="n"/>
      <c r="C42" s="14" t="n"/>
      <c r="D42" s="15" t="n"/>
      <c r="E42" s="15" t="n"/>
      <c r="F42" s="15" t="n"/>
      <c r="G42" s="15" t="n"/>
      <c r="H42" s="16" t="n"/>
      <c r="I42" s="14" t="n"/>
      <c r="J42" s="17" t="n"/>
      <c r="K42" s="17">
        <f>IF(OR(H42="",J42=""),"",H42*J42)</f>
        <v/>
      </c>
      <c r="L42" s="12" t="n"/>
      <c r="M42" s="15" t="n"/>
      <c r="N42" s="15" t="n"/>
      <c r="O42" s="14" t="n"/>
      <c r="P42" s="14">
        <f>IF(OR(L42="",D42="",O42="납품완료",O42="취소"),"",IF(L42&lt;TODAY(),"지연",IF(L42-TODAY()&lt;=$L$1,"임박","")))</f>
        <v/>
      </c>
      <c r="Q42" s="14" t="n"/>
      <c r="R42" s="15" t="n"/>
      <c r="S42" s="18">
        <f>IF(F42="","",IF(COUNTIF(F$4:F42,F42)=1,MAX(S$3:S41)+1,""))</f>
        <v/>
      </c>
    </row>
    <row r="43">
      <c r="A43" s="12" t="n"/>
      <c r="B43" s="13" t="n"/>
      <c r="C43" s="14" t="n"/>
      <c r="D43" s="15" t="n"/>
      <c r="E43" s="15" t="n"/>
      <c r="F43" s="15" t="n"/>
      <c r="G43" s="15" t="n"/>
      <c r="H43" s="16" t="n"/>
      <c r="I43" s="14" t="n"/>
      <c r="J43" s="17" t="n"/>
      <c r="K43" s="17">
        <f>IF(OR(H43="",J43=""),"",H43*J43)</f>
        <v/>
      </c>
      <c r="L43" s="12" t="n"/>
      <c r="M43" s="15" t="n"/>
      <c r="N43" s="15" t="n"/>
      <c r="O43" s="14" t="n"/>
      <c r="P43" s="14">
        <f>IF(OR(L43="",D43="",O43="납품완료",O43="취소"),"",IF(L43&lt;TODAY(),"지연",IF(L43-TODAY()&lt;=$L$1,"임박","")))</f>
        <v/>
      </c>
      <c r="Q43" s="14" t="n"/>
      <c r="R43" s="15" t="n"/>
      <c r="S43" s="18">
        <f>IF(F43="","",IF(COUNTIF(F$4:F43,F43)=1,MAX(S$3:S42)+1,""))</f>
        <v/>
      </c>
    </row>
    <row r="44">
      <c r="A44" s="12" t="n"/>
      <c r="B44" s="13" t="n"/>
      <c r="C44" s="14" t="n"/>
      <c r="D44" s="15" t="n"/>
      <c r="E44" s="15" t="n"/>
      <c r="F44" s="15" t="n"/>
      <c r="G44" s="15" t="n"/>
      <c r="H44" s="16" t="n"/>
      <c r="I44" s="14" t="n"/>
      <c r="J44" s="17" t="n"/>
      <c r="K44" s="17">
        <f>IF(OR(H44="",J44=""),"",H44*J44)</f>
        <v/>
      </c>
      <c r="L44" s="12" t="n"/>
      <c r="M44" s="15" t="n"/>
      <c r="N44" s="15" t="n"/>
      <c r="O44" s="14" t="n"/>
      <c r="P44" s="14">
        <f>IF(OR(L44="",D44="",O44="납품완료",O44="취소"),"",IF(L44&lt;TODAY(),"지연",IF(L44-TODAY()&lt;=$L$1,"임박","")))</f>
        <v/>
      </c>
      <c r="Q44" s="14" t="n"/>
      <c r="R44" s="15" t="n"/>
      <c r="S44" s="18">
        <f>IF(F44="","",IF(COUNTIF(F$4:F44,F44)=1,MAX(S$3:S43)+1,""))</f>
        <v/>
      </c>
    </row>
    <row r="45">
      <c r="A45" s="12" t="n"/>
      <c r="B45" s="13" t="n"/>
      <c r="C45" s="14" t="n"/>
      <c r="D45" s="15" t="n"/>
      <c r="E45" s="15" t="n"/>
      <c r="F45" s="15" t="n"/>
      <c r="G45" s="15" t="n"/>
      <c r="H45" s="16" t="n"/>
      <c r="I45" s="14" t="n"/>
      <c r="J45" s="17" t="n"/>
      <c r="K45" s="17">
        <f>IF(OR(H45="",J45=""),"",H45*J45)</f>
        <v/>
      </c>
      <c r="L45" s="12" t="n"/>
      <c r="M45" s="15" t="n"/>
      <c r="N45" s="15" t="n"/>
      <c r="O45" s="14" t="n"/>
      <c r="P45" s="14">
        <f>IF(OR(L45="",D45="",O45="납품완료",O45="취소"),"",IF(L45&lt;TODAY(),"지연",IF(L45-TODAY()&lt;=$L$1,"임박","")))</f>
        <v/>
      </c>
      <c r="Q45" s="14" t="n"/>
      <c r="R45" s="15" t="n"/>
      <c r="S45" s="18">
        <f>IF(F45="","",IF(COUNTIF(F$4:F45,F45)=1,MAX(S$3:S44)+1,""))</f>
        <v/>
      </c>
    </row>
    <row r="46">
      <c r="A46" s="12" t="n"/>
      <c r="B46" s="13" t="n"/>
      <c r="C46" s="14" t="n"/>
      <c r="D46" s="15" t="n"/>
      <c r="E46" s="15" t="n"/>
      <c r="F46" s="15" t="n"/>
      <c r="G46" s="15" t="n"/>
      <c r="H46" s="16" t="n"/>
      <c r="I46" s="14" t="n"/>
      <c r="J46" s="17" t="n"/>
      <c r="K46" s="17">
        <f>IF(OR(H46="",J46=""),"",H46*J46)</f>
        <v/>
      </c>
      <c r="L46" s="12" t="n"/>
      <c r="M46" s="15" t="n"/>
      <c r="N46" s="15" t="n"/>
      <c r="O46" s="14" t="n"/>
      <c r="P46" s="14">
        <f>IF(OR(L46="",D46="",O46="납품완료",O46="취소"),"",IF(L46&lt;TODAY(),"지연",IF(L46-TODAY()&lt;=$L$1,"임박","")))</f>
        <v/>
      </c>
      <c r="Q46" s="14" t="n"/>
      <c r="R46" s="15" t="n"/>
      <c r="S46" s="18">
        <f>IF(F46="","",IF(COUNTIF(F$4:F46,F46)=1,MAX(S$3:S45)+1,""))</f>
        <v/>
      </c>
    </row>
    <row r="47">
      <c r="A47" s="12" t="n"/>
      <c r="B47" s="13" t="n"/>
      <c r="C47" s="14" t="n"/>
      <c r="D47" s="15" t="n"/>
      <c r="E47" s="15" t="n"/>
      <c r="F47" s="15" t="n"/>
      <c r="G47" s="15" t="n"/>
      <c r="H47" s="16" t="n"/>
      <c r="I47" s="14" t="n"/>
      <c r="J47" s="17" t="n"/>
      <c r="K47" s="17">
        <f>IF(OR(H47="",J47=""),"",H47*J47)</f>
        <v/>
      </c>
      <c r="L47" s="12" t="n"/>
      <c r="M47" s="15" t="n"/>
      <c r="N47" s="15" t="n"/>
      <c r="O47" s="14" t="n"/>
      <c r="P47" s="14">
        <f>IF(OR(L47="",D47="",O47="납품완료",O47="취소"),"",IF(L47&lt;TODAY(),"지연",IF(L47-TODAY()&lt;=$L$1,"임박","")))</f>
        <v/>
      </c>
      <c r="Q47" s="14" t="n"/>
      <c r="R47" s="15" t="n"/>
      <c r="S47" s="18">
        <f>IF(F47="","",IF(COUNTIF(F$4:F47,F47)=1,MAX(S$3:S46)+1,""))</f>
        <v/>
      </c>
    </row>
    <row r="48">
      <c r="A48" s="12" t="n"/>
      <c r="B48" s="13" t="n"/>
      <c r="C48" s="14" t="n"/>
      <c r="D48" s="15" t="n"/>
      <c r="E48" s="15" t="n"/>
      <c r="F48" s="15" t="n"/>
      <c r="G48" s="15" t="n"/>
      <c r="H48" s="16" t="n"/>
      <c r="I48" s="14" t="n"/>
      <c r="J48" s="17" t="n"/>
      <c r="K48" s="17">
        <f>IF(OR(H48="",J48=""),"",H48*J48)</f>
        <v/>
      </c>
      <c r="L48" s="12" t="n"/>
      <c r="M48" s="15" t="n"/>
      <c r="N48" s="15" t="n"/>
      <c r="O48" s="14" t="n"/>
      <c r="P48" s="14">
        <f>IF(OR(L48="",D48="",O48="납품완료",O48="취소"),"",IF(L48&lt;TODAY(),"지연",IF(L48-TODAY()&lt;=$L$1,"임박","")))</f>
        <v/>
      </c>
      <c r="Q48" s="14" t="n"/>
      <c r="R48" s="15" t="n"/>
      <c r="S48" s="18">
        <f>IF(F48="","",IF(COUNTIF(F$4:F48,F48)=1,MAX(S$3:S47)+1,""))</f>
        <v/>
      </c>
    </row>
    <row r="49">
      <c r="A49" s="12" t="n"/>
      <c r="B49" s="13" t="n"/>
      <c r="C49" s="14" t="n"/>
      <c r="D49" s="15" t="n"/>
      <c r="E49" s="15" t="n"/>
      <c r="F49" s="15" t="n"/>
      <c r="G49" s="15" t="n"/>
      <c r="H49" s="16" t="n"/>
      <c r="I49" s="14" t="n"/>
      <c r="J49" s="17" t="n"/>
      <c r="K49" s="17">
        <f>IF(OR(H49="",J49=""),"",H49*J49)</f>
        <v/>
      </c>
      <c r="L49" s="12" t="n"/>
      <c r="M49" s="15" t="n"/>
      <c r="N49" s="15" t="n"/>
      <c r="O49" s="14" t="n"/>
      <c r="P49" s="14">
        <f>IF(OR(L49="",D49="",O49="납품완료",O49="취소"),"",IF(L49&lt;TODAY(),"지연",IF(L49-TODAY()&lt;=$L$1,"임박","")))</f>
        <v/>
      </c>
      <c r="Q49" s="14" t="n"/>
      <c r="R49" s="15" t="n"/>
      <c r="S49" s="18">
        <f>IF(F49="","",IF(COUNTIF(F$4:F49,F49)=1,MAX(S$3:S48)+1,""))</f>
        <v/>
      </c>
    </row>
    <row r="50">
      <c r="A50" s="12" t="n"/>
      <c r="B50" s="13" t="n"/>
      <c r="C50" s="14" t="n"/>
      <c r="D50" s="15" t="n"/>
      <c r="E50" s="15" t="n"/>
      <c r="F50" s="15" t="n"/>
      <c r="G50" s="15" t="n"/>
      <c r="H50" s="16" t="n"/>
      <c r="I50" s="14" t="n"/>
      <c r="J50" s="17" t="n"/>
      <c r="K50" s="17">
        <f>IF(OR(H50="",J50=""),"",H50*J50)</f>
        <v/>
      </c>
      <c r="L50" s="12" t="n"/>
      <c r="M50" s="15" t="n"/>
      <c r="N50" s="15" t="n"/>
      <c r="O50" s="14" t="n"/>
      <c r="P50" s="14">
        <f>IF(OR(L50="",D50="",O50="납품완료",O50="취소"),"",IF(L50&lt;TODAY(),"지연",IF(L50-TODAY()&lt;=$L$1,"임박","")))</f>
        <v/>
      </c>
      <c r="Q50" s="14" t="n"/>
      <c r="R50" s="15" t="n"/>
      <c r="S50" s="18">
        <f>IF(F50="","",IF(COUNTIF(F$4:F50,F50)=1,MAX(S$3:S49)+1,""))</f>
        <v/>
      </c>
    </row>
    <row r="51">
      <c r="A51" s="12" t="n"/>
      <c r="B51" s="13" t="n"/>
      <c r="C51" s="14" t="n"/>
      <c r="D51" s="15" t="n"/>
      <c r="E51" s="15" t="n"/>
      <c r="F51" s="15" t="n"/>
      <c r="G51" s="15" t="n"/>
      <c r="H51" s="16" t="n"/>
      <c r="I51" s="14" t="n"/>
      <c r="J51" s="17" t="n"/>
      <c r="K51" s="17">
        <f>IF(OR(H51="",J51=""),"",H51*J51)</f>
        <v/>
      </c>
      <c r="L51" s="12" t="n"/>
      <c r="M51" s="15" t="n"/>
      <c r="N51" s="15" t="n"/>
      <c r="O51" s="14" t="n"/>
      <c r="P51" s="14">
        <f>IF(OR(L51="",D51="",O51="납품완료",O51="취소"),"",IF(L51&lt;TODAY(),"지연",IF(L51-TODAY()&lt;=$L$1,"임박","")))</f>
        <v/>
      </c>
      <c r="Q51" s="14" t="n"/>
      <c r="R51" s="15" t="n"/>
      <c r="S51" s="18">
        <f>IF(F51="","",IF(COUNTIF(F$4:F51,F51)=1,MAX(S$3:S50)+1,""))</f>
        <v/>
      </c>
    </row>
    <row r="52">
      <c r="A52" s="12" t="n"/>
      <c r="B52" s="13" t="n"/>
      <c r="C52" s="14" t="n"/>
      <c r="D52" s="15" t="n"/>
      <c r="E52" s="15" t="n"/>
      <c r="F52" s="15" t="n"/>
      <c r="G52" s="15" t="n"/>
      <c r="H52" s="16" t="n"/>
      <c r="I52" s="14" t="n"/>
      <c r="J52" s="17" t="n"/>
      <c r="K52" s="17">
        <f>IF(OR(H52="",J52=""),"",H52*J52)</f>
        <v/>
      </c>
      <c r="L52" s="12" t="n"/>
      <c r="M52" s="15" t="n"/>
      <c r="N52" s="15" t="n"/>
      <c r="O52" s="14" t="n"/>
      <c r="P52" s="14">
        <f>IF(OR(L52="",D52="",O52="납품완료",O52="취소"),"",IF(L52&lt;TODAY(),"지연",IF(L52-TODAY()&lt;=$L$1,"임박","")))</f>
        <v/>
      </c>
      <c r="Q52" s="14" t="n"/>
      <c r="R52" s="15" t="n"/>
      <c r="S52" s="18">
        <f>IF(F52="","",IF(COUNTIF(F$4:F52,F52)=1,MAX(S$3:S51)+1,""))</f>
        <v/>
      </c>
    </row>
    <row r="53">
      <c r="A53" s="12" t="n"/>
      <c r="B53" s="13" t="n"/>
      <c r="C53" s="14" t="n"/>
      <c r="D53" s="15" t="n"/>
      <c r="E53" s="15" t="n"/>
      <c r="F53" s="15" t="n"/>
      <c r="G53" s="15" t="n"/>
      <c r="H53" s="16" t="n"/>
      <c r="I53" s="14" t="n"/>
      <c r="J53" s="17" t="n"/>
      <c r="K53" s="17">
        <f>IF(OR(H53="",J53=""),"",H53*J53)</f>
        <v/>
      </c>
      <c r="L53" s="12" t="n"/>
      <c r="M53" s="15" t="n"/>
      <c r="N53" s="15" t="n"/>
      <c r="O53" s="14" t="n"/>
      <c r="P53" s="14">
        <f>IF(OR(L53="",D53="",O53="납품완료",O53="취소"),"",IF(L53&lt;TODAY(),"지연",IF(L53-TODAY()&lt;=$L$1,"임박","")))</f>
        <v/>
      </c>
      <c r="Q53" s="14" t="n"/>
      <c r="R53" s="15" t="n"/>
      <c r="S53" s="18">
        <f>IF(F53="","",IF(COUNTIF(F$4:F53,F53)=1,MAX(S$3:S52)+1,""))</f>
        <v/>
      </c>
    </row>
    <row r="54">
      <c r="A54" s="12" t="n"/>
      <c r="B54" s="13" t="n"/>
      <c r="C54" s="14" t="n"/>
      <c r="D54" s="15" t="n"/>
      <c r="E54" s="15" t="n"/>
      <c r="F54" s="15" t="n"/>
      <c r="G54" s="15" t="n"/>
      <c r="H54" s="16" t="n"/>
      <c r="I54" s="14" t="n"/>
      <c r="J54" s="17" t="n"/>
      <c r="K54" s="17">
        <f>IF(OR(H54="",J54=""),"",H54*J54)</f>
        <v/>
      </c>
      <c r="L54" s="12" t="n"/>
      <c r="M54" s="15" t="n"/>
      <c r="N54" s="15" t="n"/>
      <c r="O54" s="14" t="n"/>
      <c r="P54" s="14">
        <f>IF(OR(L54="",D54="",O54="납품완료",O54="취소"),"",IF(L54&lt;TODAY(),"지연",IF(L54-TODAY()&lt;=$L$1,"임박","")))</f>
        <v/>
      </c>
      <c r="Q54" s="14" t="n"/>
      <c r="R54" s="15" t="n"/>
      <c r="S54" s="18">
        <f>IF(F54="","",IF(COUNTIF(F$4:F54,F54)=1,MAX(S$3:S53)+1,""))</f>
        <v/>
      </c>
    </row>
    <row r="55">
      <c r="A55" s="12" t="n"/>
      <c r="B55" s="13" t="n"/>
      <c r="C55" s="14" t="n"/>
      <c r="D55" s="15" t="n"/>
      <c r="E55" s="15" t="n"/>
      <c r="F55" s="15" t="n"/>
      <c r="G55" s="15" t="n"/>
      <c r="H55" s="16" t="n"/>
      <c r="I55" s="14" t="n"/>
      <c r="J55" s="17" t="n"/>
      <c r="K55" s="17">
        <f>IF(OR(H55="",J55=""),"",H55*J55)</f>
        <v/>
      </c>
      <c r="L55" s="12" t="n"/>
      <c r="M55" s="15" t="n"/>
      <c r="N55" s="15" t="n"/>
      <c r="O55" s="14" t="n"/>
      <c r="P55" s="14">
        <f>IF(OR(L55="",D55="",O55="납품완료",O55="취소"),"",IF(L55&lt;TODAY(),"지연",IF(L55-TODAY()&lt;=$L$1,"임박","")))</f>
        <v/>
      </c>
      <c r="Q55" s="14" t="n"/>
      <c r="R55" s="15" t="n"/>
      <c r="S55" s="18">
        <f>IF(F55="","",IF(COUNTIF(F$4:F55,F55)=1,MAX(S$3:S54)+1,""))</f>
        <v/>
      </c>
    </row>
    <row r="56">
      <c r="A56" s="12" t="n"/>
      <c r="B56" s="13" t="n"/>
      <c r="C56" s="14" t="n"/>
      <c r="D56" s="15" t="n"/>
      <c r="E56" s="15" t="n"/>
      <c r="F56" s="15" t="n"/>
      <c r="G56" s="15" t="n"/>
      <c r="H56" s="16" t="n"/>
      <c r="I56" s="14" t="n"/>
      <c r="J56" s="17" t="n"/>
      <c r="K56" s="17">
        <f>IF(OR(H56="",J56=""),"",H56*J56)</f>
        <v/>
      </c>
      <c r="L56" s="12" t="n"/>
      <c r="M56" s="15" t="n"/>
      <c r="N56" s="15" t="n"/>
      <c r="O56" s="14" t="n"/>
      <c r="P56" s="14">
        <f>IF(OR(L56="",D56="",O56="납품완료",O56="취소"),"",IF(L56&lt;TODAY(),"지연",IF(L56-TODAY()&lt;=$L$1,"임박","")))</f>
        <v/>
      </c>
      <c r="Q56" s="14" t="n"/>
      <c r="R56" s="15" t="n"/>
      <c r="S56" s="18">
        <f>IF(F56="","",IF(COUNTIF(F$4:F56,F56)=1,MAX(S$3:S55)+1,""))</f>
        <v/>
      </c>
    </row>
    <row r="57">
      <c r="A57" s="12" t="n"/>
      <c r="B57" s="13" t="n"/>
      <c r="C57" s="14" t="n"/>
      <c r="D57" s="15" t="n"/>
      <c r="E57" s="15" t="n"/>
      <c r="F57" s="15" t="n"/>
      <c r="G57" s="15" t="n"/>
      <c r="H57" s="16" t="n"/>
      <c r="I57" s="14" t="n"/>
      <c r="J57" s="17" t="n"/>
      <c r="K57" s="17">
        <f>IF(OR(H57="",J57=""),"",H57*J57)</f>
        <v/>
      </c>
      <c r="L57" s="12" t="n"/>
      <c r="M57" s="15" t="n"/>
      <c r="N57" s="15" t="n"/>
      <c r="O57" s="14" t="n"/>
      <c r="P57" s="14">
        <f>IF(OR(L57="",D57="",O57="납품완료",O57="취소"),"",IF(L57&lt;TODAY(),"지연",IF(L57-TODAY()&lt;=$L$1,"임박","")))</f>
        <v/>
      </c>
      <c r="Q57" s="14" t="n"/>
      <c r="R57" s="15" t="n"/>
      <c r="S57" s="18">
        <f>IF(F57="","",IF(COUNTIF(F$4:F57,F57)=1,MAX(S$3:S56)+1,""))</f>
        <v/>
      </c>
    </row>
    <row r="58">
      <c r="A58" s="12" t="n"/>
      <c r="B58" s="13" t="n"/>
      <c r="C58" s="14" t="n"/>
      <c r="D58" s="15" t="n"/>
      <c r="E58" s="15" t="n"/>
      <c r="F58" s="15" t="n"/>
      <c r="G58" s="15" t="n"/>
      <c r="H58" s="16" t="n"/>
      <c r="I58" s="14" t="n"/>
      <c r="J58" s="17" t="n"/>
      <c r="K58" s="17">
        <f>IF(OR(H58="",J58=""),"",H58*J58)</f>
        <v/>
      </c>
      <c r="L58" s="12" t="n"/>
      <c r="M58" s="15" t="n"/>
      <c r="N58" s="15" t="n"/>
      <c r="O58" s="14" t="n"/>
      <c r="P58" s="14">
        <f>IF(OR(L58="",D58="",O58="납품완료",O58="취소"),"",IF(L58&lt;TODAY(),"지연",IF(L58-TODAY()&lt;=$L$1,"임박","")))</f>
        <v/>
      </c>
      <c r="Q58" s="14" t="n"/>
      <c r="R58" s="15" t="n"/>
      <c r="S58" s="18">
        <f>IF(F58="","",IF(COUNTIF(F$4:F58,F58)=1,MAX(S$3:S57)+1,""))</f>
        <v/>
      </c>
    </row>
    <row r="59">
      <c r="A59" s="12" t="n"/>
      <c r="B59" s="13" t="n"/>
      <c r="C59" s="14" t="n"/>
      <c r="D59" s="15" t="n"/>
      <c r="E59" s="15" t="n"/>
      <c r="F59" s="15" t="n"/>
      <c r="G59" s="15" t="n"/>
      <c r="H59" s="16" t="n"/>
      <c r="I59" s="14" t="n"/>
      <c r="J59" s="17" t="n"/>
      <c r="K59" s="17">
        <f>IF(OR(H59="",J59=""),"",H59*J59)</f>
        <v/>
      </c>
      <c r="L59" s="12" t="n"/>
      <c r="M59" s="15" t="n"/>
      <c r="N59" s="15" t="n"/>
      <c r="O59" s="14" t="n"/>
      <c r="P59" s="14">
        <f>IF(OR(L59="",D59="",O59="납품완료",O59="취소"),"",IF(L59&lt;TODAY(),"지연",IF(L59-TODAY()&lt;=$L$1,"임박","")))</f>
        <v/>
      </c>
      <c r="Q59" s="14" t="n"/>
      <c r="R59" s="15" t="n"/>
      <c r="S59" s="18">
        <f>IF(F59="","",IF(COUNTIF(F$4:F59,F59)=1,MAX(S$3:S58)+1,""))</f>
        <v/>
      </c>
    </row>
    <row r="60">
      <c r="A60" s="12" t="n"/>
      <c r="B60" s="13" t="n"/>
      <c r="C60" s="14" t="n"/>
      <c r="D60" s="15" t="n"/>
      <c r="E60" s="15" t="n"/>
      <c r="F60" s="15" t="n"/>
      <c r="G60" s="15" t="n"/>
      <c r="H60" s="16" t="n"/>
      <c r="I60" s="14" t="n"/>
      <c r="J60" s="17" t="n"/>
      <c r="K60" s="17">
        <f>IF(OR(H60="",J60=""),"",H60*J60)</f>
        <v/>
      </c>
      <c r="L60" s="12" t="n"/>
      <c r="M60" s="15" t="n"/>
      <c r="N60" s="15" t="n"/>
      <c r="O60" s="14" t="n"/>
      <c r="P60" s="14">
        <f>IF(OR(L60="",D60="",O60="납품완료",O60="취소"),"",IF(L60&lt;TODAY(),"지연",IF(L60-TODAY()&lt;=$L$1,"임박","")))</f>
        <v/>
      </c>
      <c r="Q60" s="14" t="n"/>
      <c r="R60" s="15" t="n"/>
      <c r="S60" s="18">
        <f>IF(F60="","",IF(COUNTIF(F$4:F60,F60)=1,MAX(S$3:S59)+1,""))</f>
        <v/>
      </c>
    </row>
    <row r="61">
      <c r="A61" s="12" t="n"/>
      <c r="B61" s="13" t="n"/>
      <c r="C61" s="14" t="n"/>
      <c r="D61" s="15" t="n"/>
      <c r="E61" s="15" t="n"/>
      <c r="F61" s="15" t="n"/>
      <c r="G61" s="15" t="n"/>
      <c r="H61" s="16" t="n"/>
      <c r="I61" s="14" t="n"/>
      <c r="J61" s="17" t="n"/>
      <c r="K61" s="17">
        <f>IF(OR(H61="",J61=""),"",H61*J61)</f>
        <v/>
      </c>
      <c r="L61" s="12" t="n"/>
      <c r="M61" s="15" t="n"/>
      <c r="N61" s="15" t="n"/>
      <c r="O61" s="14" t="n"/>
      <c r="P61" s="14">
        <f>IF(OR(L61="",D61="",O61="납품완료",O61="취소"),"",IF(L61&lt;TODAY(),"지연",IF(L61-TODAY()&lt;=$L$1,"임박","")))</f>
        <v/>
      </c>
      <c r="Q61" s="14" t="n"/>
      <c r="R61" s="15" t="n"/>
      <c r="S61" s="18">
        <f>IF(F61="","",IF(COUNTIF(F$4:F61,F61)=1,MAX(S$3:S60)+1,""))</f>
        <v/>
      </c>
    </row>
    <row r="62">
      <c r="A62" s="12" t="n"/>
      <c r="B62" s="13" t="n"/>
      <c r="C62" s="14" t="n"/>
      <c r="D62" s="15" t="n"/>
      <c r="E62" s="15" t="n"/>
      <c r="F62" s="15" t="n"/>
      <c r="G62" s="15" t="n"/>
      <c r="H62" s="16" t="n"/>
      <c r="I62" s="14" t="n"/>
      <c r="J62" s="17" t="n"/>
      <c r="K62" s="17">
        <f>IF(OR(H62="",J62=""),"",H62*J62)</f>
        <v/>
      </c>
      <c r="L62" s="12" t="n"/>
      <c r="M62" s="15" t="n"/>
      <c r="N62" s="15" t="n"/>
      <c r="O62" s="14" t="n"/>
      <c r="P62" s="14">
        <f>IF(OR(L62="",D62="",O62="납품완료",O62="취소"),"",IF(L62&lt;TODAY(),"지연",IF(L62-TODAY()&lt;=$L$1,"임박","")))</f>
        <v/>
      </c>
      <c r="Q62" s="14" t="n"/>
      <c r="R62" s="15" t="n"/>
      <c r="S62" s="18">
        <f>IF(F62="","",IF(COUNTIF(F$4:F62,F62)=1,MAX(S$3:S61)+1,""))</f>
        <v/>
      </c>
    </row>
    <row r="63">
      <c r="A63" s="12" t="n"/>
      <c r="B63" s="13" t="n"/>
      <c r="C63" s="14" t="n"/>
      <c r="D63" s="15" t="n"/>
      <c r="E63" s="15" t="n"/>
      <c r="F63" s="15" t="n"/>
      <c r="G63" s="15" t="n"/>
      <c r="H63" s="16" t="n"/>
      <c r="I63" s="14" t="n"/>
      <c r="J63" s="17" t="n"/>
      <c r="K63" s="17">
        <f>IF(OR(H63="",J63=""),"",H63*J63)</f>
        <v/>
      </c>
      <c r="L63" s="12" t="n"/>
      <c r="M63" s="15" t="n"/>
      <c r="N63" s="15" t="n"/>
      <c r="O63" s="14" t="n"/>
      <c r="P63" s="14">
        <f>IF(OR(L63="",D63="",O63="납품완료",O63="취소"),"",IF(L63&lt;TODAY(),"지연",IF(L63-TODAY()&lt;=$L$1,"임박","")))</f>
        <v/>
      </c>
      <c r="Q63" s="14" t="n"/>
      <c r="R63" s="15" t="n"/>
      <c r="S63" s="18">
        <f>IF(F63="","",IF(COUNTIF(F$4:F63,F63)=1,MAX(S$3:S62)+1,""))</f>
        <v/>
      </c>
    </row>
    <row r="64">
      <c r="A64" s="12" t="n"/>
      <c r="B64" s="13" t="n"/>
      <c r="C64" s="14" t="n"/>
      <c r="D64" s="15" t="n"/>
      <c r="E64" s="15" t="n"/>
      <c r="F64" s="15" t="n"/>
      <c r="G64" s="15" t="n"/>
      <c r="H64" s="16" t="n"/>
      <c r="I64" s="14" t="n"/>
      <c r="J64" s="17" t="n"/>
      <c r="K64" s="17">
        <f>IF(OR(H64="",J64=""),"",H64*J64)</f>
        <v/>
      </c>
      <c r="L64" s="12" t="n"/>
      <c r="M64" s="15" t="n"/>
      <c r="N64" s="15" t="n"/>
      <c r="O64" s="14" t="n"/>
      <c r="P64" s="14">
        <f>IF(OR(L64="",D64="",O64="납품완료",O64="취소"),"",IF(L64&lt;TODAY(),"지연",IF(L64-TODAY()&lt;=$L$1,"임박","")))</f>
        <v/>
      </c>
      <c r="Q64" s="14" t="n"/>
      <c r="R64" s="15" t="n"/>
      <c r="S64" s="18">
        <f>IF(F64="","",IF(COUNTIF(F$4:F64,F64)=1,MAX(S$3:S63)+1,""))</f>
        <v/>
      </c>
    </row>
    <row r="65">
      <c r="A65" s="12" t="n"/>
      <c r="B65" s="13" t="n"/>
      <c r="C65" s="14" t="n"/>
      <c r="D65" s="15" t="n"/>
      <c r="E65" s="15" t="n"/>
      <c r="F65" s="15" t="n"/>
      <c r="G65" s="15" t="n"/>
      <c r="H65" s="16" t="n"/>
      <c r="I65" s="14" t="n"/>
      <c r="J65" s="17" t="n"/>
      <c r="K65" s="17">
        <f>IF(OR(H65="",J65=""),"",H65*J65)</f>
        <v/>
      </c>
      <c r="L65" s="12" t="n"/>
      <c r="M65" s="15" t="n"/>
      <c r="N65" s="15" t="n"/>
      <c r="O65" s="14" t="n"/>
      <c r="P65" s="14">
        <f>IF(OR(L65="",D65="",O65="납품완료",O65="취소"),"",IF(L65&lt;TODAY(),"지연",IF(L65-TODAY()&lt;=$L$1,"임박","")))</f>
        <v/>
      </c>
      <c r="Q65" s="14" t="n"/>
      <c r="R65" s="15" t="n"/>
      <c r="S65" s="18">
        <f>IF(F65="","",IF(COUNTIF(F$4:F65,F65)=1,MAX(S$3:S64)+1,""))</f>
        <v/>
      </c>
    </row>
    <row r="66">
      <c r="A66" s="12" t="n"/>
      <c r="B66" s="13" t="n"/>
      <c r="C66" s="14" t="n"/>
      <c r="D66" s="15" t="n"/>
      <c r="E66" s="15" t="n"/>
      <c r="F66" s="15" t="n"/>
      <c r="G66" s="15" t="n"/>
      <c r="H66" s="16" t="n"/>
      <c r="I66" s="14" t="n"/>
      <c r="J66" s="17" t="n"/>
      <c r="K66" s="17">
        <f>IF(OR(H66="",J66=""),"",H66*J66)</f>
        <v/>
      </c>
      <c r="L66" s="12" t="n"/>
      <c r="M66" s="15" t="n"/>
      <c r="N66" s="15" t="n"/>
      <c r="O66" s="14" t="n"/>
      <c r="P66" s="14">
        <f>IF(OR(L66="",D66="",O66="납품완료",O66="취소"),"",IF(L66&lt;TODAY(),"지연",IF(L66-TODAY()&lt;=$L$1,"임박","")))</f>
        <v/>
      </c>
      <c r="Q66" s="14" t="n"/>
      <c r="R66" s="15" t="n"/>
      <c r="S66" s="18">
        <f>IF(F66="","",IF(COUNTIF(F$4:F66,F66)=1,MAX(S$3:S65)+1,""))</f>
        <v/>
      </c>
    </row>
    <row r="67">
      <c r="A67" s="12" t="n"/>
      <c r="B67" s="13" t="n"/>
      <c r="C67" s="14" t="n"/>
      <c r="D67" s="15" t="n"/>
      <c r="E67" s="15" t="n"/>
      <c r="F67" s="15" t="n"/>
      <c r="G67" s="15" t="n"/>
      <c r="H67" s="16" t="n"/>
      <c r="I67" s="14" t="n"/>
      <c r="J67" s="17" t="n"/>
      <c r="K67" s="17">
        <f>IF(OR(H67="",J67=""),"",H67*J67)</f>
        <v/>
      </c>
      <c r="L67" s="12" t="n"/>
      <c r="M67" s="15" t="n"/>
      <c r="N67" s="15" t="n"/>
      <c r="O67" s="14" t="n"/>
      <c r="P67" s="14">
        <f>IF(OR(L67="",D67="",O67="납품완료",O67="취소"),"",IF(L67&lt;TODAY(),"지연",IF(L67-TODAY()&lt;=$L$1,"임박","")))</f>
        <v/>
      </c>
      <c r="Q67" s="14" t="n"/>
      <c r="R67" s="15" t="n"/>
      <c r="S67" s="18">
        <f>IF(F67="","",IF(COUNTIF(F$4:F67,F67)=1,MAX(S$3:S66)+1,""))</f>
        <v/>
      </c>
    </row>
    <row r="68">
      <c r="A68" s="12" t="n"/>
      <c r="B68" s="13" t="n"/>
      <c r="C68" s="14" t="n"/>
      <c r="D68" s="15" t="n"/>
      <c r="E68" s="15" t="n"/>
      <c r="F68" s="15" t="n"/>
      <c r="G68" s="15" t="n"/>
      <c r="H68" s="16" t="n"/>
      <c r="I68" s="14" t="n"/>
      <c r="J68" s="17" t="n"/>
      <c r="K68" s="17">
        <f>IF(OR(H68="",J68=""),"",H68*J68)</f>
        <v/>
      </c>
      <c r="L68" s="12" t="n"/>
      <c r="M68" s="15" t="n"/>
      <c r="N68" s="15" t="n"/>
      <c r="O68" s="14" t="n"/>
      <c r="P68" s="14">
        <f>IF(OR(L68="",D68="",O68="납품완료",O68="취소"),"",IF(L68&lt;TODAY(),"지연",IF(L68-TODAY()&lt;=$L$1,"임박","")))</f>
        <v/>
      </c>
      <c r="Q68" s="14" t="n"/>
      <c r="R68" s="15" t="n"/>
      <c r="S68" s="18">
        <f>IF(F68="","",IF(COUNTIF(F$4:F68,F68)=1,MAX(S$3:S67)+1,""))</f>
        <v/>
      </c>
    </row>
    <row r="69">
      <c r="A69" s="12" t="n"/>
      <c r="B69" s="13" t="n"/>
      <c r="C69" s="14" t="n"/>
      <c r="D69" s="15" t="n"/>
      <c r="E69" s="15" t="n"/>
      <c r="F69" s="15" t="n"/>
      <c r="G69" s="15" t="n"/>
      <c r="H69" s="16" t="n"/>
      <c r="I69" s="14" t="n"/>
      <c r="J69" s="17" t="n"/>
      <c r="K69" s="17">
        <f>IF(OR(H69="",J69=""),"",H69*J69)</f>
        <v/>
      </c>
      <c r="L69" s="12" t="n"/>
      <c r="M69" s="15" t="n"/>
      <c r="N69" s="15" t="n"/>
      <c r="O69" s="14" t="n"/>
      <c r="P69" s="14">
        <f>IF(OR(L69="",D69="",O69="납품완료",O69="취소"),"",IF(L69&lt;TODAY(),"지연",IF(L69-TODAY()&lt;=$L$1,"임박","")))</f>
        <v/>
      </c>
      <c r="Q69" s="14" t="n"/>
      <c r="R69" s="15" t="n"/>
      <c r="S69" s="18">
        <f>IF(F69="","",IF(COUNTIF(F$4:F69,F69)=1,MAX(S$3:S68)+1,""))</f>
        <v/>
      </c>
    </row>
    <row r="70">
      <c r="A70" s="12" t="n"/>
      <c r="B70" s="13" t="n"/>
      <c r="C70" s="14" t="n"/>
      <c r="D70" s="15" t="n"/>
      <c r="E70" s="15" t="n"/>
      <c r="F70" s="15" t="n"/>
      <c r="G70" s="15" t="n"/>
      <c r="H70" s="16" t="n"/>
      <c r="I70" s="14" t="n"/>
      <c r="J70" s="17" t="n"/>
      <c r="K70" s="17">
        <f>IF(OR(H70="",J70=""),"",H70*J70)</f>
        <v/>
      </c>
      <c r="L70" s="12" t="n"/>
      <c r="M70" s="15" t="n"/>
      <c r="N70" s="15" t="n"/>
      <c r="O70" s="14" t="n"/>
      <c r="P70" s="14">
        <f>IF(OR(L70="",D70="",O70="납품완료",O70="취소"),"",IF(L70&lt;TODAY(),"지연",IF(L70-TODAY()&lt;=$L$1,"임박","")))</f>
        <v/>
      </c>
      <c r="Q70" s="14" t="n"/>
      <c r="R70" s="15" t="n"/>
      <c r="S70" s="18">
        <f>IF(F70="","",IF(COUNTIF(F$4:F70,F70)=1,MAX(S$3:S69)+1,""))</f>
        <v/>
      </c>
    </row>
    <row r="71">
      <c r="A71" s="12" t="n"/>
      <c r="B71" s="13" t="n"/>
      <c r="C71" s="14" t="n"/>
      <c r="D71" s="15" t="n"/>
      <c r="E71" s="15" t="n"/>
      <c r="F71" s="15" t="n"/>
      <c r="G71" s="15" t="n"/>
      <c r="H71" s="16" t="n"/>
      <c r="I71" s="14" t="n"/>
      <c r="J71" s="17" t="n"/>
      <c r="K71" s="17">
        <f>IF(OR(H71="",J71=""),"",H71*J71)</f>
        <v/>
      </c>
      <c r="L71" s="12" t="n"/>
      <c r="M71" s="15" t="n"/>
      <c r="N71" s="15" t="n"/>
      <c r="O71" s="14" t="n"/>
      <c r="P71" s="14">
        <f>IF(OR(L71="",D71="",O71="납품완료",O71="취소"),"",IF(L71&lt;TODAY(),"지연",IF(L71-TODAY()&lt;=$L$1,"임박","")))</f>
        <v/>
      </c>
      <c r="Q71" s="14" t="n"/>
      <c r="R71" s="15" t="n"/>
      <c r="S71" s="18">
        <f>IF(F71="","",IF(COUNTIF(F$4:F71,F71)=1,MAX(S$3:S70)+1,""))</f>
        <v/>
      </c>
    </row>
    <row r="72">
      <c r="A72" s="12" t="n"/>
      <c r="B72" s="13" t="n"/>
      <c r="C72" s="14" t="n"/>
      <c r="D72" s="15" t="n"/>
      <c r="E72" s="15" t="n"/>
      <c r="F72" s="15" t="n"/>
      <c r="G72" s="15" t="n"/>
      <c r="H72" s="16" t="n"/>
      <c r="I72" s="14" t="n"/>
      <c r="J72" s="17" t="n"/>
      <c r="K72" s="17">
        <f>IF(OR(H72="",J72=""),"",H72*J72)</f>
        <v/>
      </c>
      <c r="L72" s="12" t="n"/>
      <c r="M72" s="15" t="n"/>
      <c r="N72" s="15" t="n"/>
      <c r="O72" s="14" t="n"/>
      <c r="P72" s="14">
        <f>IF(OR(L72="",D72="",O72="납품완료",O72="취소"),"",IF(L72&lt;TODAY(),"지연",IF(L72-TODAY()&lt;=$L$1,"임박","")))</f>
        <v/>
      </c>
      <c r="Q72" s="14" t="n"/>
      <c r="R72" s="15" t="n"/>
      <c r="S72" s="18">
        <f>IF(F72="","",IF(COUNTIF(F$4:F72,F72)=1,MAX(S$3:S71)+1,""))</f>
        <v/>
      </c>
    </row>
    <row r="73">
      <c r="A73" s="12" t="n"/>
      <c r="B73" s="13" t="n"/>
      <c r="C73" s="14" t="n"/>
      <c r="D73" s="15" t="n"/>
      <c r="E73" s="15" t="n"/>
      <c r="F73" s="15" t="n"/>
      <c r="G73" s="15" t="n"/>
      <c r="H73" s="16" t="n"/>
      <c r="I73" s="14" t="n"/>
      <c r="J73" s="17" t="n"/>
      <c r="K73" s="17">
        <f>IF(OR(H73="",J73=""),"",H73*J73)</f>
        <v/>
      </c>
      <c r="L73" s="12" t="n"/>
      <c r="M73" s="15" t="n"/>
      <c r="N73" s="15" t="n"/>
      <c r="O73" s="14" t="n"/>
      <c r="P73" s="14">
        <f>IF(OR(L73="",D73="",O73="납품완료",O73="취소"),"",IF(L73&lt;TODAY(),"지연",IF(L73-TODAY()&lt;=$L$1,"임박","")))</f>
        <v/>
      </c>
      <c r="Q73" s="14" t="n"/>
      <c r="R73" s="15" t="n"/>
      <c r="S73" s="18">
        <f>IF(F73="","",IF(COUNTIF(F$4:F73,F73)=1,MAX(S$3:S72)+1,""))</f>
        <v/>
      </c>
    </row>
    <row r="74">
      <c r="A74" s="12" t="n"/>
      <c r="B74" s="13" t="n"/>
      <c r="C74" s="14" t="n"/>
      <c r="D74" s="15" t="n"/>
      <c r="E74" s="15" t="n"/>
      <c r="F74" s="15" t="n"/>
      <c r="G74" s="15" t="n"/>
      <c r="H74" s="16" t="n"/>
      <c r="I74" s="14" t="n"/>
      <c r="J74" s="17" t="n"/>
      <c r="K74" s="17">
        <f>IF(OR(H74="",J74=""),"",H74*J74)</f>
        <v/>
      </c>
      <c r="L74" s="12" t="n"/>
      <c r="M74" s="15" t="n"/>
      <c r="N74" s="15" t="n"/>
      <c r="O74" s="14" t="n"/>
      <c r="P74" s="14">
        <f>IF(OR(L74="",D74="",O74="납품완료",O74="취소"),"",IF(L74&lt;TODAY(),"지연",IF(L74-TODAY()&lt;=$L$1,"임박","")))</f>
        <v/>
      </c>
      <c r="Q74" s="14" t="n"/>
      <c r="R74" s="15" t="n"/>
      <c r="S74" s="18">
        <f>IF(F74="","",IF(COUNTIF(F$4:F74,F74)=1,MAX(S$3:S73)+1,""))</f>
        <v/>
      </c>
    </row>
    <row r="75">
      <c r="A75" s="12" t="n"/>
      <c r="B75" s="13" t="n"/>
      <c r="C75" s="14" t="n"/>
      <c r="D75" s="15" t="n"/>
      <c r="E75" s="15" t="n"/>
      <c r="F75" s="15" t="n"/>
      <c r="G75" s="15" t="n"/>
      <c r="H75" s="16" t="n"/>
      <c r="I75" s="14" t="n"/>
      <c r="J75" s="17" t="n"/>
      <c r="K75" s="17">
        <f>IF(OR(H75="",J75=""),"",H75*J75)</f>
        <v/>
      </c>
      <c r="L75" s="12" t="n"/>
      <c r="M75" s="15" t="n"/>
      <c r="N75" s="15" t="n"/>
      <c r="O75" s="14" t="n"/>
      <c r="P75" s="14">
        <f>IF(OR(L75="",D75="",O75="납품완료",O75="취소"),"",IF(L75&lt;TODAY(),"지연",IF(L75-TODAY()&lt;=$L$1,"임박","")))</f>
        <v/>
      </c>
      <c r="Q75" s="14" t="n"/>
      <c r="R75" s="15" t="n"/>
      <c r="S75" s="18">
        <f>IF(F75="","",IF(COUNTIF(F$4:F75,F75)=1,MAX(S$3:S74)+1,""))</f>
        <v/>
      </c>
    </row>
    <row r="76">
      <c r="A76" s="12" t="n"/>
      <c r="B76" s="13" t="n"/>
      <c r="C76" s="14" t="n"/>
      <c r="D76" s="15" t="n"/>
      <c r="E76" s="15" t="n"/>
      <c r="F76" s="15" t="n"/>
      <c r="G76" s="15" t="n"/>
      <c r="H76" s="16" t="n"/>
      <c r="I76" s="14" t="n"/>
      <c r="J76" s="17" t="n"/>
      <c r="K76" s="17">
        <f>IF(OR(H76="",J76=""),"",H76*J76)</f>
        <v/>
      </c>
      <c r="L76" s="12" t="n"/>
      <c r="M76" s="15" t="n"/>
      <c r="N76" s="15" t="n"/>
      <c r="O76" s="14" t="n"/>
      <c r="P76" s="14">
        <f>IF(OR(L76="",D76="",O76="납품완료",O76="취소"),"",IF(L76&lt;TODAY(),"지연",IF(L76-TODAY()&lt;=$L$1,"임박","")))</f>
        <v/>
      </c>
      <c r="Q76" s="14" t="n"/>
      <c r="R76" s="15" t="n"/>
      <c r="S76" s="18">
        <f>IF(F76="","",IF(COUNTIF(F$4:F76,F76)=1,MAX(S$3:S75)+1,""))</f>
        <v/>
      </c>
    </row>
    <row r="77">
      <c r="A77" s="12" t="n"/>
      <c r="B77" s="13" t="n"/>
      <c r="C77" s="14" t="n"/>
      <c r="D77" s="15" t="n"/>
      <c r="E77" s="15" t="n"/>
      <c r="F77" s="15" t="n"/>
      <c r="G77" s="15" t="n"/>
      <c r="H77" s="16" t="n"/>
      <c r="I77" s="14" t="n"/>
      <c r="J77" s="17" t="n"/>
      <c r="K77" s="17">
        <f>IF(OR(H77="",J77=""),"",H77*J77)</f>
        <v/>
      </c>
      <c r="L77" s="12" t="n"/>
      <c r="M77" s="15" t="n"/>
      <c r="N77" s="15" t="n"/>
      <c r="O77" s="14" t="n"/>
      <c r="P77" s="14">
        <f>IF(OR(L77="",D77="",O77="납품완료",O77="취소"),"",IF(L77&lt;TODAY(),"지연",IF(L77-TODAY()&lt;=$L$1,"임박","")))</f>
        <v/>
      </c>
      <c r="Q77" s="14" t="n"/>
      <c r="R77" s="15" t="n"/>
      <c r="S77" s="18">
        <f>IF(F77="","",IF(COUNTIF(F$4:F77,F77)=1,MAX(S$3:S76)+1,""))</f>
        <v/>
      </c>
    </row>
    <row r="78">
      <c r="A78" s="12" t="n"/>
      <c r="B78" s="13" t="n"/>
      <c r="C78" s="14" t="n"/>
      <c r="D78" s="15" t="n"/>
      <c r="E78" s="15" t="n"/>
      <c r="F78" s="15" t="n"/>
      <c r="G78" s="15" t="n"/>
      <c r="H78" s="16" t="n"/>
      <c r="I78" s="14" t="n"/>
      <c r="J78" s="17" t="n"/>
      <c r="K78" s="17">
        <f>IF(OR(H78="",J78=""),"",H78*J78)</f>
        <v/>
      </c>
      <c r="L78" s="12" t="n"/>
      <c r="M78" s="15" t="n"/>
      <c r="N78" s="15" t="n"/>
      <c r="O78" s="14" t="n"/>
      <c r="P78" s="14">
        <f>IF(OR(L78="",D78="",O78="납품완료",O78="취소"),"",IF(L78&lt;TODAY(),"지연",IF(L78-TODAY()&lt;=$L$1,"임박","")))</f>
        <v/>
      </c>
      <c r="Q78" s="14" t="n"/>
      <c r="R78" s="15" t="n"/>
      <c r="S78" s="18">
        <f>IF(F78="","",IF(COUNTIF(F$4:F78,F78)=1,MAX(S$3:S77)+1,""))</f>
        <v/>
      </c>
    </row>
    <row r="79">
      <c r="A79" s="12" t="n"/>
      <c r="B79" s="13" t="n"/>
      <c r="C79" s="14" t="n"/>
      <c r="D79" s="15" t="n"/>
      <c r="E79" s="15" t="n"/>
      <c r="F79" s="15" t="n"/>
      <c r="G79" s="15" t="n"/>
      <c r="H79" s="16" t="n"/>
      <c r="I79" s="14" t="n"/>
      <c r="J79" s="17" t="n"/>
      <c r="K79" s="17">
        <f>IF(OR(H79="",J79=""),"",H79*J79)</f>
        <v/>
      </c>
      <c r="L79" s="12" t="n"/>
      <c r="M79" s="15" t="n"/>
      <c r="N79" s="15" t="n"/>
      <c r="O79" s="14" t="n"/>
      <c r="P79" s="14">
        <f>IF(OR(L79="",D79="",O79="납품완료",O79="취소"),"",IF(L79&lt;TODAY(),"지연",IF(L79-TODAY()&lt;=$L$1,"임박","")))</f>
        <v/>
      </c>
      <c r="Q79" s="14" t="n"/>
      <c r="R79" s="15" t="n"/>
      <c r="S79" s="18">
        <f>IF(F79="","",IF(COUNTIF(F$4:F79,F79)=1,MAX(S$3:S78)+1,""))</f>
        <v/>
      </c>
    </row>
    <row r="80">
      <c r="A80" s="12" t="n"/>
      <c r="B80" s="13" t="n"/>
      <c r="C80" s="14" t="n"/>
      <c r="D80" s="15" t="n"/>
      <c r="E80" s="15" t="n"/>
      <c r="F80" s="15" t="n"/>
      <c r="G80" s="15" t="n"/>
      <c r="H80" s="16" t="n"/>
      <c r="I80" s="14" t="n"/>
      <c r="J80" s="17" t="n"/>
      <c r="K80" s="17">
        <f>IF(OR(H80="",J80=""),"",H80*J80)</f>
        <v/>
      </c>
      <c r="L80" s="12" t="n"/>
      <c r="M80" s="15" t="n"/>
      <c r="N80" s="15" t="n"/>
      <c r="O80" s="14" t="n"/>
      <c r="P80" s="14">
        <f>IF(OR(L80="",D80="",O80="납품완료",O80="취소"),"",IF(L80&lt;TODAY(),"지연",IF(L80-TODAY()&lt;=$L$1,"임박","")))</f>
        <v/>
      </c>
      <c r="Q80" s="14" t="n"/>
      <c r="R80" s="15" t="n"/>
      <c r="S80" s="18">
        <f>IF(F80="","",IF(COUNTIF(F$4:F80,F80)=1,MAX(S$3:S79)+1,""))</f>
        <v/>
      </c>
    </row>
    <row r="81">
      <c r="A81" s="12" t="n"/>
      <c r="B81" s="13" t="n"/>
      <c r="C81" s="14" t="n"/>
      <c r="D81" s="15" t="n"/>
      <c r="E81" s="15" t="n"/>
      <c r="F81" s="15" t="n"/>
      <c r="G81" s="15" t="n"/>
      <c r="H81" s="16" t="n"/>
      <c r="I81" s="14" t="n"/>
      <c r="J81" s="17" t="n"/>
      <c r="K81" s="17">
        <f>IF(OR(H81="",J81=""),"",H81*J81)</f>
        <v/>
      </c>
      <c r="L81" s="12" t="n"/>
      <c r="M81" s="15" t="n"/>
      <c r="N81" s="15" t="n"/>
      <c r="O81" s="14" t="n"/>
      <c r="P81" s="14">
        <f>IF(OR(L81="",D81="",O81="납품완료",O81="취소"),"",IF(L81&lt;TODAY(),"지연",IF(L81-TODAY()&lt;=$L$1,"임박","")))</f>
        <v/>
      </c>
      <c r="Q81" s="14" t="n"/>
      <c r="R81" s="15" t="n"/>
      <c r="S81" s="18">
        <f>IF(F81="","",IF(COUNTIF(F$4:F81,F81)=1,MAX(S$3:S80)+1,""))</f>
        <v/>
      </c>
    </row>
    <row r="82">
      <c r="A82" s="12" t="n"/>
      <c r="B82" s="13" t="n"/>
      <c r="C82" s="14" t="n"/>
      <c r="D82" s="15" t="n"/>
      <c r="E82" s="15" t="n"/>
      <c r="F82" s="15" t="n"/>
      <c r="G82" s="15" t="n"/>
      <c r="H82" s="16" t="n"/>
      <c r="I82" s="14" t="n"/>
      <c r="J82" s="17" t="n"/>
      <c r="K82" s="17">
        <f>IF(OR(H82="",J82=""),"",H82*J82)</f>
        <v/>
      </c>
      <c r="L82" s="12" t="n"/>
      <c r="M82" s="15" t="n"/>
      <c r="N82" s="15" t="n"/>
      <c r="O82" s="14" t="n"/>
      <c r="P82" s="14">
        <f>IF(OR(L82="",D82="",O82="납품완료",O82="취소"),"",IF(L82&lt;TODAY(),"지연",IF(L82-TODAY()&lt;=$L$1,"임박","")))</f>
        <v/>
      </c>
      <c r="Q82" s="14" t="n"/>
      <c r="R82" s="15" t="n"/>
      <c r="S82" s="18">
        <f>IF(F82="","",IF(COUNTIF(F$4:F82,F82)=1,MAX(S$3:S81)+1,""))</f>
        <v/>
      </c>
    </row>
    <row r="83">
      <c r="A83" s="12" t="n"/>
      <c r="B83" s="13" t="n"/>
      <c r="C83" s="14" t="n"/>
      <c r="D83" s="15" t="n"/>
      <c r="E83" s="15" t="n"/>
      <c r="F83" s="15" t="n"/>
      <c r="G83" s="15" t="n"/>
      <c r="H83" s="16" t="n"/>
      <c r="I83" s="14" t="n"/>
      <c r="J83" s="17" t="n"/>
      <c r="K83" s="17">
        <f>IF(OR(H83="",J83=""),"",H83*J83)</f>
        <v/>
      </c>
      <c r="L83" s="12" t="n"/>
      <c r="M83" s="15" t="n"/>
      <c r="N83" s="15" t="n"/>
      <c r="O83" s="14" t="n"/>
      <c r="P83" s="14">
        <f>IF(OR(L83="",D83="",O83="납품완료",O83="취소"),"",IF(L83&lt;TODAY(),"지연",IF(L83-TODAY()&lt;=$L$1,"임박","")))</f>
        <v/>
      </c>
      <c r="Q83" s="14" t="n"/>
      <c r="R83" s="15" t="n"/>
      <c r="S83" s="18">
        <f>IF(F83="","",IF(COUNTIF(F$4:F83,F83)=1,MAX(S$3:S82)+1,""))</f>
        <v/>
      </c>
    </row>
    <row r="84">
      <c r="A84" s="12" t="n"/>
      <c r="B84" s="13" t="n"/>
      <c r="C84" s="14" t="n"/>
      <c r="D84" s="15" t="n"/>
      <c r="E84" s="15" t="n"/>
      <c r="F84" s="15" t="n"/>
      <c r="G84" s="15" t="n"/>
      <c r="H84" s="16" t="n"/>
      <c r="I84" s="14" t="n"/>
      <c r="J84" s="17" t="n"/>
      <c r="K84" s="17">
        <f>IF(OR(H84="",J84=""),"",H84*J84)</f>
        <v/>
      </c>
      <c r="L84" s="12" t="n"/>
      <c r="M84" s="15" t="n"/>
      <c r="N84" s="15" t="n"/>
      <c r="O84" s="14" t="n"/>
      <c r="P84" s="14">
        <f>IF(OR(L84="",D84="",O84="납품완료",O84="취소"),"",IF(L84&lt;TODAY(),"지연",IF(L84-TODAY()&lt;=$L$1,"임박","")))</f>
        <v/>
      </c>
      <c r="Q84" s="14" t="n"/>
      <c r="R84" s="15" t="n"/>
      <c r="S84" s="18">
        <f>IF(F84="","",IF(COUNTIF(F$4:F84,F84)=1,MAX(S$3:S83)+1,""))</f>
        <v/>
      </c>
    </row>
    <row r="85">
      <c r="A85" s="12" t="n"/>
      <c r="B85" s="13" t="n"/>
      <c r="C85" s="14" t="n"/>
      <c r="D85" s="15" t="n"/>
      <c r="E85" s="15" t="n"/>
      <c r="F85" s="15" t="n"/>
      <c r="G85" s="15" t="n"/>
      <c r="H85" s="16" t="n"/>
      <c r="I85" s="14" t="n"/>
      <c r="J85" s="17" t="n"/>
      <c r="K85" s="17">
        <f>IF(OR(H85="",J85=""),"",H85*J85)</f>
        <v/>
      </c>
      <c r="L85" s="12" t="n"/>
      <c r="M85" s="15" t="n"/>
      <c r="N85" s="15" t="n"/>
      <c r="O85" s="14" t="n"/>
      <c r="P85" s="14">
        <f>IF(OR(L85="",D85="",O85="납품완료",O85="취소"),"",IF(L85&lt;TODAY(),"지연",IF(L85-TODAY()&lt;=$L$1,"임박","")))</f>
        <v/>
      </c>
      <c r="Q85" s="14" t="n"/>
      <c r="R85" s="15" t="n"/>
      <c r="S85" s="18">
        <f>IF(F85="","",IF(COUNTIF(F$4:F85,F85)=1,MAX(S$3:S84)+1,""))</f>
        <v/>
      </c>
    </row>
    <row r="86">
      <c r="A86" s="12" t="n"/>
      <c r="B86" s="13" t="n"/>
      <c r="C86" s="14" t="n"/>
      <c r="D86" s="15" t="n"/>
      <c r="E86" s="15" t="n"/>
      <c r="F86" s="15" t="n"/>
      <c r="G86" s="15" t="n"/>
      <c r="H86" s="16" t="n"/>
      <c r="I86" s="14" t="n"/>
      <c r="J86" s="17" t="n"/>
      <c r="K86" s="17">
        <f>IF(OR(H86="",J86=""),"",H86*J86)</f>
        <v/>
      </c>
      <c r="L86" s="12" t="n"/>
      <c r="M86" s="15" t="n"/>
      <c r="N86" s="15" t="n"/>
      <c r="O86" s="14" t="n"/>
      <c r="P86" s="14">
        <f>IF(OR(L86="",D86="",O86="납품완료",O86="취소"),"",IF(L86&lt;TODAY(),"지연",IF(L86-TODAY()&lt;=$L$1,"임박","")))</f>
        <v/>
      </c>
      <c r="Q86" s="14" t="n"/>
      <c r="R86" s="15" t="n"/>
      <c r="S86" s="18">
        <f>IF(F86="","",IF(COUNTIF(F$4:F86,F86)=1,MAX(S$3:S85)+1,""))</f>
        <v/>
      </c>
    </row>
    <row r="87">
      <c r="A87" s="12" t="n"/>
      <c r="B87" s="13" t="n"/>
      <c r="C87" s="14" t="n"/>
      <c r="D87" s="15" t="n"/>
      <c r="E87" s="15" t="n"/>
      <c r="F87" s="15" t="n"/>
      <c r="G87" s="15" t="n"/>
      <c r="H87" s="16" t="n"/>
      <c r="I87" s="14" t="n"/>
      <c r="J87" s="17" t="n"/>
      <c r="K87" s="17">
        <f>IF(OR(H87="",J87=""),"",H87*J87)</f>
        <v/>
      </c>
      <c r="L87" s="12" t="n"/>
      <c r="M87" s="15" t="n"/>
      <c r="N87" s="15" t="n"/>
      <c r="O87" s="14" t="n"/>
      <c r="P87" s="14">
        <f>IF(OR(L87="",D87="",O87="납품완료",O87="취소"),"",IF(L87&lt;TODAY(),"지연",IF(L87-TODAY()&lt;=$L$1,"임박","")))</f>
        <v/>
      </c>
      <c r="Q87" s="14" t="n"/>
      <c r="R87" s="15" t="n"/>
      <c r="S87" s="18">
        <f>IF(F87="","",IF(COUNTIF(F$4:F87,F87)=1,MAX(S$3:S86)+1,""))</f>
        <v/>
      </c>
    </row>
    <row r="88">
      <c r="A88" s="12" t="n"/>
      <c r="B88" s="13" t="n"/>
      <c r="C88" s="14" t="n"/>
      <c r="D88" s="15" t="n"/>
      <c r="E88" s="15" t="n"/>
      <c r="F88" s="15" t="n"/>
      <c r="G88" s="15" t="n"/>
      <c r="H88" s="16" t="n"/>
      <c r="I88" s="14" t="n"/>
      <c r="J88" s="17" t="n"/>
      <c r="K88" s="17">
        <f>IF(OR(H88="",J88=""),"",H88*J88)</f>
        <v/>
      </c>
      <c r="L88" s="12" t="n"/>
      <c r="M88" s="15" t="n"/>
      <c r="N88" s="15" t="n"/>
      <c r="O88" s="14" t="n"/>
      <c r="P88" s="14">
        <f>IF(OR(L88="",D88="",O88="납품완료",O88="취소"),"",IF(L88&lt;TODAY(),"지연",IF(L88-TODAY()&lt;=$L$1,"임박","")))</f>
        <v/>
      </c>
      <c r="Q88" s="14" t="n"/>
      <c r="R88" s="15" t="n"/>
      <c r="S88" s="18">
        <f>IF(F88="","",IF(COUNTIF(F$4:F88,F88)=1,MAX(S$3:S87)+1,""))</f>
        <v/>
      </c>
    </row>
    <row r="89">
      <c r="A89" s="12" t="n"/>
      <c r="B89" s="13" t="n"/>
      <c r="C89" s="14" t="n"/>
      <c r="D89" s="15" t="n"/>
      <c r="E89" s="15" t="n"/>
      <c r="F89" s="15" t="n"/>
      <c r="G89" s="15" t="n"/>
      <c r="H89" s="16" t="n"/>
      <c r="I89" s="14" t="n"/>
      <c r="J89" s="17" t="n"/>
      <c r="K89" s="17">
        <f>IF(OR(H89="",J89=""),"",H89*J89)</f>
        <v/>
      </c>
      <c r="L89" s="12" t="n"/>
      <c r="M89" s="15" t="n"/>
      <c r="N89" s="15" t="n"/>
      <c r="O89" s="14" t="n"/>
      <c r="P89" s="14">
        <f>IF(OR(L89="",D89="",O89="납품완료",O89="취소"),"",IF(L89&lt;TODAY(),"지연",IF(L89-TODAY()&lt;=$L$1,"임박","")))</f>
        <v/>
      </c>
      <c r="Q89" s="14" t="n"/>
      <c r="R89" s="15" t="n"/>
      <c r="S89" s="18">
        <f>IF(F89="","",IF(COUNTIF(F$4:F89,F89)=1,MAX(S$3:S88)+1,""))</f>
        <v/>
      </c>
    </row>
    <row r="90">
      <c r="A90" s="12" t="n"/>
      <c r="B90" s="13" t="n"/>
      <c r="C90" s="14" t="n"/>
      <c r="D90" s="15" t="n"/>
      <c r="E90" s="15" t="n"/>
      <c r="F90" s="15" t="n"/>
      <c r="G90" s="15" t="n"/>
      <c r="H90" s="16" t="n"/>
      <c r="I90" s="14" t="n"/>
      <c r="J90" s="17" t="n"/>
      <c r="K90" s="17">
        <f>IF(OR(H90="",J90=""),"",H90*J90)</f>
        <v/>
      </c>
      <c r="L90" s="12" t="n"/>
      <c r="M90" s="15" t="n"/>
      <c r="N90" s="15" t="n"/>
      <c r="O90" s="14" t="n"/>
      <c r="P90" s="14">
        <f>IF(OR(L90="",D90="",O90="납품완료",O90="취소"),"",IF(L90&lt;TODAY(),"지연",IF(L90-TODAY()&lt;=$L$1,"임박","")))</f>
        <v/>
      </c>
      <c r="Q90" s="14" t="n"/>
      <c r="R90" s="15" t="n"/>
      <c r="S90" s="18">
        <f>IF(F90="","",IF(COUNTIF(F$4:F90,F90)=1,MAX(S$3:S89)+1,""))</f>
        <v/>
      </c>
    </row>
    <row r="91">
      <c r="A91" s="12" t="n"/>
      <c r="B91" s="13" t="n"/>
      <c r="C91" s="14" t="n"/>
      <c r="D91" s="15" t="n"/>
      <c r="E91" s="15" t="n"/>
      <c r="F91" s="15" t="n"/>
      <c r="G91" s="15" t="n"/>
      <c r="H91" s="16" t="n"/>
      <c r="I91" s="14" t="n"/>
      <c r="J91" s="17" t="n"/>
      <c r="K91" s="17">
        <f>IF(OR(H91="",J91=""),"",H91*J91)</f>
        <v/>
      </c>
      <c r="L91" s="12" t="n"/>
      <c r="M91" s="15" t="n"/>
      <c r="N91" s="15" t="n"/>
      <c r="O91" s="14" t="n"/>
      <c r="P91" s="14">
        <f>IF(OR(L91="",D91="",O91="납품완료",O91="취소"),"",IF(L91&lt;TODAY(),"지연",IF(L91-TODAY()&lt;=$L$1,"임박","")))</f>
        <v/>
      </c>
      <c r="Q91" s="14" t="n"/>
      <c r="R91" s="15" t="n"/>
      <c r="S91" s="18">
        <f>IF(F91="","",IF(COUNTIF(F$4:F91,F91)=1,MAX(S$3:S90)+1,""))</f>
        <v/>
      </c>
    </row>
    <row r="92">
      <c r="A92" s="12" t="n"/>
      <c r="B92" s="13" t="n"/>
      <c r="C92" s="14" t="n"/>
      <c r="D92" s="15" t="n"/>
      <c r="E92" s="15" t="n"/>
      <c r="F92" s="15" t="n"/>
      <c r="G92" s="15" t="n"/>
      <c r="H92" s="16" t="n"/>
      <c r="I92" s="14" t="n"/>
      <c r="J92" s="17" t="n"/>
      <c r="K92" s="17">
        <f>IF(OR(H92="",J92=""),"",H92*J92)</f>
        <v/>
      </c>
      <c r="L92" s="12" t="n"/>
      <c r="M92" s="15" t="n"/>
      <c r="N92" s="15" t="n"/>
      <c r="O92" s="14" t="n"/>
      <c r="P92" s="14">
        <f>IF(OR(L92="",D92="",O92="납품완료",O92="취소"),"",IF(L92&lt;TODAY(),"지연",IF(L92-TODAY()&lt;=$L$1,"임박","")))</f>
        <v/>
      </c>
      <c r="Q92" s="14" t="n"/>
      <c r="R92" s="15" t="n"/>
      <c r="S92" s="18">
        <f>IF(F92="","",IF(COUNTIF(F$4:F92,F92)=1,MAX(S$3:S91)+1,""))</f>
        <v/>
      </c>
    </row>
    <row r="93">
      <c r="A93" s="12" t="n"/>
      <c r="B93" s="13" t="n"/>
      <c r="C93" s="14" t="n"/>
      <c r="D93" s="15" t="n"/>
      <c r="E93" s="15" t="n"/>
      <c r="F93" s="15" t="n"/>
      <c r="G93" s="15" t="n"/>
      <c r="H93" s="16" t="n"/>
      <c r="I93" s="14" t="n"/>
      <c r="J93" s="17" t="n"/>
      <c r="K93" s="17">
        <f>IF(OR(H93="",J93=""),"",H93*J93)</f>
        <v/>
      </c>
      <c r="L93" s="12" t="n"/>
      <c r="M93" s="15" t="n"/>
      <c r="N93" s="15" t="n"/>
      <c r="O93" s="14" t="n"/>
      <c r="P93" s="14">
        <f>IF(OR(L93="",D93="",O93="납품완료",O93="취소"),"",IF(L93&lt;TODAY(),"지연",IF(L93-TODAY()&lt;=$L$1,"임박","")))</f>
        <v/>
      </c>
      <c r="Q93" s="14" t="n"/>
      <c r="R93" s="15" t="n"/>
      <c r="S93" s="18">
        <f>IF(F93="","",IF(COUNTIF(F$4:F93,F93)=1,MAX(S$3:S92)+1,""))</f>
        <v/>
      </c>
    </row>
    <row r="94">
      <c r="A94" s="12" t="n"/>
      <c r="B94" s="13" t="n"/>
      <c r="C94" s="14" t="n"/>
      <c r="D94" s="15" t="n"/>
      <c r="E94" s="15" t="n"/>
      <c r="F94" s="15" t="n"/>
      <c r="G94" s="15" t="n"/>
      <c r="H94" s="16" t="n"/>
      <c r="I94" s="14" t="n"/>
      <c r="J94" s="17" t="n"/>
      <c r="K94" s="17">
        <f>IF(OR(H94="",J94=""),"",H94*J94)</f>
        <v/>
      </c>
      <c r="L94" s="12" t="n"/>
      <c r="M94" s="15" t="n"/>
      <c r="N94" s="15" t="n"/>
      <c r="O94" s="14" t="n"/>
      <c r="P94" s="14">
        <f>IF(OR(L94="",D94="",O94="납품완료",O94="취소"),"",IF(L94&lt;TODAY(),"지연",IF(L94-TODAY()&lt;=$L$1,"임박","")))</f>
        <v/>
      </c>
      <c r="Q94" s="14" t="n"/>
      <c r="R94" s="15" t="n"/>
      <c r="S94" s="18">
        <f>IF(F94="","",IF(COUNTIF(F$4:F94,F94)=1,MAX(S$3:S93)+1,""))</f>
        <v/>
      </c>
    </row>
    <row r="95">
      <c r="A95" s="12" t="n"/>
      <c r="B95" s="13" t="n"/>
      <c r="C95" s="14" t="n"/>
      <c r="D95" s="15" t="n"/>
      <c r="E95" s="15" t="n"/>
      <c r="F95" s="15" t="n"/>
      <c r="G95" s="15" t="n"/>
      <c r="H95" s="16" t="n"/>
      <c r="I95" s="14" t="n"/>
      <c r="J95" s="17" t="n"/>
      <c r="K95" s="17">
        <f>IF(OR(H95="",J95=""),"",H95*J95)</f>
        <v/>
      </c>
      <c r="L95" s="12" t="n"/>
      <c r="M95" s="15" t="n"/>
      <c r="N95" s="15" t="n"/>
      <c r="O95" s="14" t="n"/>
      <c r="P95" s="14">
        <f>IF(OR(L95="",D95="",O95="납품완료",O95="취소"),"",IF(L95&lt;TODAY(),"지연",IF(L95-TODAY()&lt;=$L$1,"임박","")))</f>
        <v/>
      </c>
      <c r="Q95" s="14" t="n"/>
      <c r="R95" s="15" t="n"/>
      <c r="S95" s="18">
        <f>IF(F95="","",IF(COUNTIF(F$4:F95,F95)=1,MAX(S$3:S94)+1,""))</f>
        <v/>
      </c>
    </row>
    <row r="96">
      <c r="A96" s="12" t="n"/>
      <c r="B96" s="13" t="n"/>
      <c r="C96" s="14" t="n"/>
      <c r="D96" s="15" t="n"/>
      <c r="E96" s="15" t="n"/>
      <c r="F96" s="15" t="n"/>
      <c r="G96" s="15" t="n"/>
      <c r="H96" s="16" t="n"/>
      <c r="I96" s="14" t="n"/>
      <c r="J96" s="17" t="n"/>
      <c r="K96" s="17">
        <f>IF(OR(H96="",J96=""),"",H96*J96)</f>
        <v/>
      </c>
      <c r="L96" s="12" t="n"/>
      <c r="M96" s="15" t="n"/>
      <c r="N96" s="15" t="n"/>
      <c r="O96" s="14" t="n"/>
      <c r="P96" s="14">
        <f>IF(OR(L96="",D96="",O96="납품완료",O96="취소"),"",IF(L96&lt;TODAY(),"지연",IF(L96-TODAY()&lt;=$L$1,"임박","")))</f>
        <v/>
      </c>
      <c r="Q96" s="14" t="n"/>
      <c r="R96" s="15" t="n"/>
      <c r="S96" s="18">
        <f>IF(F96="","",IF(COUNTIF(F$4:F96,F96)=1,MAX(S$3:S95)+1,""))</f>
        <v/>
      </c>
    </row>
    <row r="97">
      <c r="A97" s="12" t="n"/>
      <c r="B97" s="13" t="n"/>
      <c r="C97" s="14" t="n"/>
      <c r="D97" s="15" t="n"/>
      <c r="E97" s="15" t="n"/>
      <c r="F97" s="15" t="n"/>
      <c r="G97" s="15" t="n"/>
      <c r="H97" s="16" t="n"/>
      <c r="I97" s="14" t="n"/>
      <c r="J97" s="17" t="n"/>
      <c r="K97" s="17">
        <f>IF(OR(H97="",J97=""),"",H97*J97)</f>
        <v/>
      </c>
      <c r="L97" s="12" t="n"/>
      <c r="M97" s="15" t="n"/>
      <c r="N97" s="15" t="n"/>
      <c r="O97" s="14" t="n"/>
      <c r="P97" s="14">
        <f>IF(OR(L97="",D97="",O97="납품완료",O97="취소"),"",IF(L97&lt;TODAY(),"지연",IF(L97-TODAY()&lt;=$L$1,"임박","")))</f>
        <v/>
      </c>
      <c r="Q97" s="14" t="n"/>
      <c r="R97" s="15" t="n"/>
      <c r="S97" s="18">
        <f>IF(F97="","",IF(COUNTIF(F$4:F97,F97)=1,MAX(S$3:S96)+1,""))</f>
        <v/>
      </c>
    </row>
    <row r="98">
      <c r="A98" s="12" t="n"/>
      <c r="B98" s="13" t="n"/>
      <c r="C98" s="14" t="n"/>
      <c r="D98" s="15" t="n"/>
      <c r="E98" s="15" t="n"/>
      <c r="F98" s="15" t="n"/>
      <c r="G98" s="15" t="n"/>
      <c r="H98" s="16" t="n"/>
      <c r="I98" s="14" t="n"/>
      <c r="J98" s="17" t="n"/>
      <c r="K98" s="17">
        <f>IF(OR(H98="",J98=""),"",H98*J98)</f>
        <v/>
      </c>
      <c r="L98" s="12" t="n"/>
      <c r="M98" s="15" t="n"/>
      <c r="N98" s="15" t="n"/>
      <c r="O98" s="14" t="n"/>
      <c r="P98" s="14">
        <f>IF(OR(L98="",D98="",O98="납품완료",O98="취소"),"",IF(L98&lt;TODAY(),"지연",IF(L98-TODAY()&lt;=$L$1,"임박","")))</f>
        <v/>
      </c>
      <c r="Q98" s="14" t="n"/>
      <c r="R98" s="15" t="n"/>
      <c r="S98" s="18">
        <f>IF(F98="","",IF(COUNTIF(F$4:F98,F98)=1,MAX(S$3:S97)+1,""))</f>
        <v/>
      </c>
    </row>
    <row r="99">
      <c r="A99" s="12" t="n"/>
      <c r="B99" s="13" t="n"/>
      <c r="C99" s="14" t="n"/>
      <c r="D99" s="15" t="n"/>
      <c r="E99" s="15" t="n"/>
      <c r="F99" s="15" t="n"/>
      <c r="G99" s="15" t="n"/>
      <c r="H99" s="16" t="n"/>
      <c r="I99" s="14" t="n"/>
      <c r="J99" s="17" t="n"/>
      <c r="K99" s="17">
        <f>IF(OR(H99="",J99=""),"",H99*J99)</f>
        <v/>
      </c>
      <c r="L99" s="12" t="n"/>
      <c r="M99" s="15" t="n"/>
      <c r="N99" s="15" t="n"/>
      <c r="O99" s="14" t="n"/>
      <c r="P99" s="14">
        <f>IF(OR(L99="",D99="",O99="납품완료",O99="취소"),"",IF(L99&lt;TODAY(),"지연",IF(L99-TODAY()&lt;=$L$1,"임박","")))</f>
        <v/>
      </c>
      <c r="Q99" s="14" t="n"/>
      <c r="R99" s="15" t="n"/>
      <c r="S99" s="18">
        <f>IF(F99="","",IF(COUNTIF(F$4:F99,F99)=1,MAX(S$3:S98)+1,""))</f>
        <v/>
      </c>
    </row>
    <row r="100">
      <c r="A100" s="12" t="n"/>
      <c r="B100" s="13" t="n"/>
      <c r="C100" s="14" t="n"/>
      <c r="D100" s="15" t="n"/>
      <c r="E100" s="15" t="n"/>
      <c r="F100" s="15" t="n"/>
      <c r="G100" s="15" t="n"/>
      <c r="H100" s="16" t="n"/>
      <c r="I100" s="14" t="n"/>
      <c r="J100" s="17" t="n"/>
      <c r="K100" s="17">
        <f>IF(OR(H100="",J100=""),"",H100*J100)</f>
        <v/>
      </c>
      <c r="L100" s="12" t="n"/>
      <c r="M100" s="15" t="n"/>
      <c r="N100" s="15" t="n"/>
      <c r="O100" s="14" t="n"/>
      <c r="P100" s="14">
        <f>IF(OR(L100="",D100="",O100="납품완료",O100="취소"),"",IF(L100&lt;TODAY(),"지연",IF(L100-TODAY()&lt;=$L$1,"임박","")))</f>
        <v/>
      </c>
      <c r="Q100" s="14" t="n"/>
      <c r="R100" s="15" t="n"/>
      <c r="S100" s="18">
        <f>IF(F100="","",IF(COUNTIF(F$4:F100,F100)=1,MAX(S$3:S99)+1,""))</f>
        <v/>
      </c>
    </row>
    <row r="101">
      <c r="A101" s="12" t="n"/>
      <c r="B101" s="13" t="n"/>
      <c r="C101" s="14" t="n"/>
      <c r="D101" s="15" t="n"/>
      <c r="E101" s="15" t="n"/>
      <c r="F101" s="15" t="n"/>
      <c r="G101" s="15" t="n"/>
      <c r="H101" s="16" t="n"/>
      <c r="I101" s="14" t="n"/>
      <c r="J101" s="17" t="n"/>
      <c r="K101" s="17">
        <f>IF(OR(H101="",J101=""),"",H101*J101)</f>
        <v/>
      </c>
      <c r="L101" s="12" t="n"/>
      <c r="M101" s="15" t="n"/>
      <c r="N101" s="15" t="n"/>
      <c r="O101" s="14" t="n"/>
      <c r="P101" s="14">
        <f>IF(OR(L101="",D101="",O101="납품완료",O101="취소"),"",IF(L101&lt;TODAY(),"지연",IF(L101-TODAY()&lt;=$L$1,"임박","")))</f>
        <v/>
      </c>
      <c r="Q101" s="14" t="n"/>
      <c r="R101" s="15" t="n"/>
      <c r="S101" s="18">
        <f>IF(F101="","",IF(COUNTIF(F$4:F101,F101)=1,MAX(S$3:S100)+1,""))</f>
        <v/>
      </c>
    </row>
    <row r="102">
      <c r="A102" s="12" t="n"/>
      <c r="B102" s="13" t="n"/>
      <c r="C102" s="14" t="n"/>
      <c r="D102" s="15" t="n"/>
      <c r="E102" s="15" t="n"/>
      <c r="F102" s="15" t="n"/>
      <c r="G102" s="15" t="n"/>
      <c r="H102" s="16" t="n"/>
      <c r="I102" s="14" t="n"/>
      <c r="J102" s="17" t="n"/>
      <c r="K102" s="17">
        <f>IF(OR(H102="",J102=""),"",H102*J102)</f>
        <v/>
      </c>
      <c r="L102" s="12" t="n"/>
      <c r="M102" s="15" t="n"/>
      <c r="N102" s="15" t="n"/>
      <c r="O102" s="14" t="n"/>
      <c r="P102" s="14">
        <f>IF(OR(L102="",D102="",O102="납품완료",O102="취소"),"",IF(L102&lt;TODAY(),"지연",IF(L102-TODAY()&lt;=$L$1,"임박","")))</f>
        <v/>
      </c>
      <c r="Q102" s="14" t="n"/>
      <c r="R102" s="15" t="n"/>
      <c r="S102" s="18">
        <f>IF(F102="","",IF(COUNTIF(F$4:F102,F102)=1,MAX(S$3:S101)+1,""))</f>
        <v/>
      </c>
    </row>
    <row r="103">
      <c r="A103" s="12" t="n"/>
      <c r="B103" s="13" t="n"/>
      <c r="C103" s="14" t="n"/>
      <c r="D103" s="15" t="n"/>
      <c r="E103" s="15" t="n"/>
      <c r="F103" s="15" t="n"/>
      <c r="G103" s="15" t="n"/>
      <c r="H103" s="16" t="n"/>
      <c r="I103" s="14" t="n"/>
      <c r="J103" s="17" t="n"/>
      <c r="K103" s="17">
        <f>IF(OR(H103="",J103=""),"",H103*J103)</f>
        <v/>
      </c>
      <c r="L103" s="12" t="n"/>
      <c r="M103" s="15" t="n"/>
      <c r="N103" s="15" t="n"/>
      <c r="O103" s="14" t="n"/>
      <c r="P103" s="14">
        <f>IF(OR(L103="",D103="",O103="납품완료",O103="취소"),"",IF(L103&lt;TODAY(),"지연",IF(L103-TODAY()&lt;=$L$1,"임박","")))</f>
        <v/>
      </c>
      <c r="Q103" s="14" t="n"/>
      <c r="R103" s="15" t="n"/>
      <c r="S103" s="18">
        <f>IF(F103="","",IF(COUNTIF(F$4:F103,F103)=1,MAX(S$3:S102)+1,""))</f>
        <v/>
      </c>
    </row>
    <row r="104">
      <c r="A104" s="12" t="n"/>
      <c r="B104" s="13" t="n"/>
      <c r="C104" s="14" t="n"/>
      <c r="D104" s="15" t="n"/>
      <c r="E104" s="15" t="n"/>
      <c r="F104" s="15" t="n"/>
      <c r="G104" s="15" t="n"/>
      <c r="H104" s="16" t="n"/>
      <c r="I104" s="14" t="n"/>
      <c r="J104" s="17" t="n"/>
      <c r="K104" s="17">
        <f>IF(OR(H104="",J104=""),"",H104*J104)</f>
        <v/>
      </c>
      <c r="L104" s="12" t="n"/>
      <c r="M104" s="15" t="n"/>
      <c r="N104" s="15" t="n"/>
      <c r="O104" s="14" t="n"/>
      <c r="P104" s="14">
        <f>IF(OR(L104="",D104="",O104="납품완료",O104="취소"),"",IF(L104&lt;TODAY(),"지연",IF(L104-TODAY()&lt;=$L$1,"임박","")))</f>
        <v/>
      </c>
      <c r="Q104" s="14" t="n"/>
      <c r="R104" s="15" t="n"/>
      <c r="S104" s="18">
        <f>IF(F104="","",IF(COUNTIF(F$4:F104,F104)=1,MAX(S$3:S103)+1,""))</f>
        <v/>
      </c>
    </row>
    <row r="105">
      <c r="A105" s="12" t="n"/>
      <c r="B105" s="13" t="n"/>
      <c r="C105" s="14" t="n"/>
      <c r="D105" s="15" t="n"/>
      <c r="E105" s="15" t="n"/>
      <c r="F105" s="15" t="n"/>
      <c r="G105" s="15" t="n"/>
      <c r="H105" s="16" t="n"/>
      <c r="I105" s="14" t="n"/>
      <c r="J105" s="17" t="n"/>
      <c r="K105" s="17">
        <f>IF(OR(H105="",J105=""),"",H105*J105)</f>
        <v/>
      </c>
      <c r="L105" s="12" t="n"/>
      <c r="M105" s="15" t="n"/>
      <c r="N105" s="15" t="n"/>
      <c r="O105" s="14" t="n"/>
      <c r="P105" s="14">
        <f>IF(OR(L105="",D105="",O105="납품완료",O105="취소"),"",IF(L105&lt;TODAY(),"지연",IF(L105-TODAY()&lt;=$L$1,"임박","")))</f>
        <v/>
      </c>
      <c r="Q105" s="14" t="n"/>
      <c r="R105" s="15" t="n"/>
      <c r="S105" s="18">
        <f>IF(F105="","",IF(COUNTIF(F$4:F105,F105)=1,MAX(S$3:S104)+1,""))</f>
        <v/>
      </c>
    </row>
    <row r="106">
      <c r="A106" s="12" t="n"/>
      <c r="B106" s="13" t="n"/>
      <c r="C106" s="14" t="n"/>
      <c r="D106" s="15" t="n"/>
      <c r="E106" s="15" t="n"/>
      <c r="F106" s="15" t="n"/>
      <c r="G106" s="15" t="n"/>
      <c r="H106" s="16" t="n"/>
      <c r="I106" s="14" t="n"/>
      <c r="J106" s="17" t="n"/>
      <c r="K106" s="17">
        <f>IF(OR(H106="",J106=""),"",H106*J106)</f>
        <v/>
      </c>
      <c r="L106" s="12" t="n"/>
      <c r="M106" s="15" t="n"/>
      <c r="N106" s="15" t="n"/>
      <c r="O106" s="14" t="n"/>
      <c r="P106" s="14">
        <f>IF(OR(L106="",D106="",O106="납품완료",O106="취소"),"",IF(L106&lt;TODAY(),"지연",IF(L106-TODAY()&lt;=$L$1,"임박","")))</f>
        <v/>
      </c>
      <c r="Q106" s="14" t="n"/>
      <c r="R106" s="15" t="n"/>
      <c r="S106" s="18">
        <f>IF(F106="","",IF(COUNTIF(F$4:F106,F106)=1,MAX(S$3:S105)+1,""))</f>
        <v/>
      </c>
    </row>
    <row r="107">
      <c r="A107" s="12" t="n"/>
      <c r="B107" s="13" t="n"/>
      <c r="C107" s="14" t="n"/>
      <c r="D107" s="15" t="n"/>
      <c r="E107" s="15" t="n"/>
      <c r="F107" s="15" t="n"/>
      <c r="G107" s="15" t="n"/>
      <c r="H107" s="16" t="n"/>
      <c r="I107" s="14" t="n"/>
      <c r="J107" s="17" t="n"/>
      <c r="K107" s="17">
        <f>IF(OR(H107="",J107=""),"",H107*J107)</f>
        <v/>
      </c>
      <c r="L107" s="12" t="n"/>
      <c r="M107" s="15" t="n"/>
      <c r="N107" s="15" t="n"/>
      <c r="O107" s="14" t="n"/>
      <c r="P107" s="14">
        <f>IF(OR(L107="",D107="",O107="납품완료",O107="취소"),"",IF(L107&lt;TODAY(),"지연",IF(L107-TODAY()&lt;=$L$1,"임박","")))</f>
        <v/>
      </c>
      <c r="Q107" s="14" t="n"/>
      <c r="R107" s="15" t="n"/>
      <c r="S107" s="18">
        <f>IF(F107="","",IF(COUNTIF(F$4:F107,F107)=1,MAX(S$3:S106)+1,""))</f>
        <v/>
      </c>
    </row>
    <row r="108">
      <c r="A108" s="12" t="n"/>
      <c r="B108" s="13" t="n"/>
      <c r="C108" s="14" t="n"/>
      <c r="D108" s="15" t="n"/>
      <c r="E108" s="15" t="n"/>
      <c r="F108" s="15" t="n"/>
      <c r="G108" s="15" t="n"/>
      <c r="H108" s="16" t="n"/>
      <c r="I108" s="14" t="n"/>
      <c r="J108" s="17" t="n"/>
      <c r="K108" s="17">
        <f>IF(OR(H108="",J108=""),"",H108*J108)</f>
        <v/>
      </c>
      <c r="L108" s="12" t="n"/>
      <c r="M108" s="15" t="n"/>
      <c r="N108" s="15" t="n"/>
      <c r="O108" s="14" t="n"/>
      <c r="P108" s="14">
        <f>IF(OR(L108="",D108="",O108="납품완료",O108="취소"),"",IF(L108&lt;TODAY(),"지연",IF(L108-TODAY()&lt;=$L$1,"임박","")))</f>
        <v/>
      </c>
      <c r="Q108" s="14" t="n"/>
      <c r="R108" s="15" t="n"/>
      <c r="S108" s="18">
        <f>IF(F108="","",IF(COUNTIF(F$4:F108,F108)=1,MAX(S$3:S107)+1,""))</f>
        <v/>
      </c>
    </row>
    <row r="109">
      <c r="A109" s="12" t="n"/>
      <c r="B109" s="13" t="n"/>
      <c r="C109" s="14" t="n"/>
      <c r="D109" s="15" t="n"/>
      <c r="E109" s="15" t="n"/>
      <c r="F109" s="15" t="n"/>
      <c r="G109" s="15" t="n"/>
      <c r="H109" s="16" t="n"/>
      <c r="I109" s="14" t="n"/>
      <c r="J109" s="17" t="n"/>
      <c r="K109" s="17">
        <f>IF(OR(H109="",J109=""),"",H109*J109)</f>
        <v/>
      </c>
      <c r="L109" s="12" t="n"/>
      <c r="M109" s="15" t="n"/>
      <c r="N109" s="15" t="n"/>
      <c r="O109" s="14" t="n"/>
      <c r="P109" s="14">
        <f>IF(OR(L109="",D109="",O109="납품완료",O109="취소"),"",IF(L109&lt;TODAY(),"지연",IF(L109-TODAY()&lt;=$L$1,"임박","")))</f>
        <v/>
      </c>
      <c r="Q109" s="14" t="n"/>
      <c r="R109" s="15" t="n"/>
      <c r="S109" s="18">
        <f>IF(F109="","",IF(COUNTIF(F$4:F109,F109)=1,MAX(S$3:S108)+1,""))</f>
        <v/>
      </c>
    </row>
    <row r="110">
      <c r="A110" s="12" t="n"/>
      <c r="B110" s="13" t="n"/>
      <c r="C110" s="14" t="n"/>
      <c r="D110" s="15" t="n"/>
      <c r="E110" s="15" t="n"/>
      <c r="F110" s="15" t="n"/>
      <c r="G110" s="15" t="n"/>
      <c r="H110" s="16" t="n"/>
      <c r="I110" s="14" t="n"/>
      <c r="J110" s="17" t="n"/>
      <c r="K110" s="17">
        <f>IF(OR(H110="",J110=""),"",H110*J110)</f>
        <v/>
      </c>
      <c r="L110" s="12" t="n"/>
      <c r="M110" s="15" t="n"/>
      <c r="N110" s="15" t="n"/>
      <c r="O110" s="14" t="n"/>
      <c r="P110" s="14">
        <f>IF(OR(L110="",D110="",O110="납품완료",O110="취소"),"",IF(L110&lt;TODAY(),"지연",IF(L110-TODAY()&lt;=$L$1,"임박","")))</f>
        <v/>
      </c>
      <c r="Q110" s="14" t="n"/>
      <c r="R110" s="15" t="n"/>
      <c r="S110" s="18">
        <f>IF(F110="","",IF(COUNTIF(F$4:F110,F110)=1,MAX(S$3:S109)+1,""))</f>
        <v/>
      </c>
    </row>
    <row r="111">
      <c r="A111" s="12" t="n"/>
      <c r="B111" s="13" t="n"/>
      <c r="C111" s="14" t="n"/>
      <c r="D111" s="15" t="n"/>
      <c r="E111" s="15" t="n"/>
      <c r="F111" s="15" t="n"/>
      <c r="G111" s="15" t="n"/>
      <c r="H111" s="16" t="n"/>
      <c r="I111" s="14" t="n"/>
      <c r="J111" s="17" t="n"/>
      <c r="K111" s="17">
        <f>IF(OR(H111="",J111=""),"",H111*J111)</f>
        <v/>
      </c>
      <c r="L111" s="12" t="n"/>
      <c r="M111" s="15" t="n"/>
      <c r="N111" s="15" t="n"/>
      <c r="O111" s="14" t="n"/>
      <c r="P111" s="14">
        <f>IF(OR(L111="",D111="",O111="납품완료",O111="취소"),"",IF(L111&lt;TODAY(),"지연",IF(L111-TODAY()&lt;=$L$1,"임박","")))</f>
        <v/>
      </c>
      <c r="Q111" s="14" t="n"/>
      <c r="R111" s="15" t="n"/>
      <c r="S111" s="18">
        <f>IF(F111="","",IF(COUNTIF(F$4:F111,F111)=1,MAX(S$3:S110)+1,""))</f>
        <v/>
      </c>
    </row>
    <row r="112">
      <c r="A112" s="12" t="n"/>
      <c r="B112" s="13" t="n"/>
      <c r="C112" s="14" t="n"/>
      <c r="D112" s="15" t="n"/>
      <c r="E112" s="15" t="n"/>
      <c r="F112" s="15" t="n"/>
      <c r="G112" s="15" t="n"/>
      <c r="H112" s="16" t="n"/>
      <c r="I112" s="14" t="n"/>
      <c r="J112" s="17" t="n"/>
      <c r="K112" s="17">
        <f>IF(OR(H112="",J112=""),"",H112*J112)</f>
        <v/>
      </c>
      <c r="L112" s="12" t="n"/>
      <c r="M112" s="15" t="n"/>
      <c r="N112" s="15" t="n"/>
      <c r="O112" s="14" t="n"/>
      <c r="P112" s="14">
        <f>IF(OR(L112="",D112="",O112="납품완료",O112="취소"),"",IF(L112&lt;TODAY(),"지연",IF(L112-TODAY()&lt;=$L$1,"임박","")))</f>
        <v/>
      </c>
      <c r="Q112" s="14" t="n"/>
      <c r="R112" s="15" t="n"/>
      <c r="S112" s="18">
        <f>IF(F112="","",IF(COUNTIF(F$4:F112,F112)=1,MAX(S$3:S111)+1,""))</f>
        <v/>
      </c>
    </row>
    <row r="113">
      <c r="A113" s="12" t="n"/>
      <c r="B113" s="13" t="n"/>
      <c r="C113" s="14" t="n"/>
      <c r="D113" s="15" t="n"/>
      <c r="E113" s="15" t="n"/>
      <c r="F113" s="15" t="n"/>
      <c r="G113" s="15" t="n"/>
      <c r="H113" s="16" t="n"/>
      <c r="I113" s="14" t="n"/>
      <c r="J113" s="17" t="n"/>
      <c r="K113" s="17">
        <f>IF(OR(H113="",J113=""),"",H113*J113)</f>
        <v/>
      </c>
      <c r="L113" s="12" t="n"/>
      <c r="M113" s="15" t="n"/>
      <c r="N113" s="15" t="n"/>
      <c r="O113" s="14" t="n"/>
      <c r="P113" s="14">
        <f>IF(OR(L113="",D113="",O113="납품완료",O113="취소"),"",IF(L113&lt;TODAY(),"지연",IF(L113-TODAY()&lt;=$L$1,"임박","")))</f>
        <v/>
      </c>
      <c r="Q113" s="14" t="n"/>
      <c r="R113" s="15" t="n"/>
      <c r="S113" s="18">
        <f>IF(F113="","",IF(COUNTIF(F$4:F113,F113)=1,MAX(S$3:S112)+1,""))</f>
        <v/>
      </c>
    </row>
    <row r="114">
      <c r="A114" s="12" t="n"/>
      <c r="B114" s="13" t="n"/>
      <c r="C114" s="14" t="n"/>
      <c r="D114" s="15" t="n"/>
      <c r="E114" s="15" t="n"/>
      <c r="F114" s="15" t="n"/>
      <c r="G114" s="15" t="n"/>
      <c r="H114" s="16" t="n"/>
      <c r="I114" s="14" t="n"/>
      <c r="J114" s="17" t="n"/>
      <c r="K114" s="17">
        <f>IF(OR(H114="",J114=""),"",H114*J114)</f>
        <v/>
      </c>
      <c r="L114" s="12" t="n"/>
      <c r="M114" s="15" t="n"/>
      <c r="N114" s="15" t="n"/>
      <c r="O114" s="14" t="n"/>
      <c r="P114" s="14">
        <f>IF(OR(L114="",D114="",O114="납품완료",O114="취소"),"",IF(L114&lt;TODAY(),"지연",IF(L114-TODAY()&lt;=$L$1,"임박","")))</f>
        <v/>
      </c>
      <c r="Q114" s="14" t="n"/>
      <c r="R114" s="15" t="n"/>
      <c r="S114" s="18">
        <f>IF(F114="","",IF(COUNTIF(F$4:F114,F114)=1,MAX(S$3:S113)+1,""))</f>
        <v/>
      </c>
    </row>
    <row r="115">
      <c r="A115" s="12" t="n"/>
      <c r="B115" s="13" t="n"/>
      <c r="C115" s="14" t="n"/>
      <c r="D115" s="15" t="n"/>
      <c r="E115" s="15" t="n"/>
      <c r="F115" s="15" t="n"/>
      <c r="G115" s="15" t="n"/>
      <c r="H115" s="16" t="n"/>
      <c r="I115" s="14" t="n"/>
      <c r="J115" s="17" t="n"/>
      <c r="K115" s="17">
        <f>IF(OR(H115="",J115=""),"",H115*J115)</f>
        <v/>
      </c>
      <c r="L115" s="12" t="n"/>
      <c r="M115" s="15" t="n"/>
      <c r="N115" s="15" t="n"/>
      <c r="O115" s="14" t="n"/>
      <c r="P115" s="14">
        <f>IF(OR(L115="",D115="",O115="납품완료",O115="취소"),"",IF(L115&lt;TODAY(),"지연",IF(L115-TODAY()&lt;=$L$1,"임박","")))</f>
        <v/>
      </c>
      <c r="Q115" s="14" t="n"/>
      <c r="R115" s="15" t="n"/>
      <c r="S115" s="18">
        <f>IF(F115="","",IF(COUNTIF(F$4:F115,F115)=1,MAX(S$3:S114)+1,""))</f>
        <v/>
      </c>
    </row>
    <row r="116">
      <c r="A116" s="12" t="n"/>
      <c r="B116" s="13" t="n"/>
      <c r="C116" s="14" t="n"/>
      <c r="D116" s="15" t="n"/>
      <c r="E116" s="15" t="n"/>
      <c r="F116" s="15" t="n"/>
      <c r="G116" s="15" t="n"/>
      <c r="H116" s="16" t="n"/>
      <c r="I116" s="14" t="n"/>
      <c r="J116" s="17" t="n"/>
      <c r="K116" s="17">
        <f>IF(OR(H116="",J116=""),"",H116*J116)</f>
        <v/>
      </c>
      <c r="L116" s="12" t="n"/>
      <c r="M116" s="15" t="n"/>
      <c r="N116" s="15" t="n"/>
      <c r="O116" s="14" t="n"/>
      <c r="P116" s="14">
        <f>IF(OR(L116="",D116="",O116="납품완료",O116="취소"),"",IF(L116&lt;TODAY(),"지연",IF(L116-TODAY()&lt;=$L$1,"임박","")))</f>
        <v/>
      </c>
      <c r="Q116" s="14" t="n"/>
      <c r="R116" s="15" t="n"/>
      <c r="S116" s="18">
        <f>IF(F116="","",IF(COUNTIF(F$4:F116,F116)=1,MAX(S$3:S115)+1,""))</f>
        <v/>
      </c>
    </row>
    <row r="117">
      <c r="A117" s="12" t="n"/>
      <c r="B117" s="13" t="n"/>
      <c r="C117" s="14" t="n"/>
      <c r="D117" s="15" t="n"/>
      <c r="E117" s="15" t="n"/>
      <c r="F117" s="15" t="n"/>
      <c r="G117" s="15" t="n"/>
      <c r="H117" s="16" t="n"/>
      <c r="I117" s="14" t="n"/>
      <c r="J117" s="17" t="n"/>
      <c r="K117" s="17">
        <f>IF(OR(H117="",J117=""),"",H117*J117)</f>
        <v/>
      </c>
      <c r="L117" s="12" t="n"/>
      <c r="M117" s="15" t="n"/>
      <c r="N117" s="15" t="n"/>
      <c r="O117" s="14" t="n"/>
      <c r="P117" s="14">
        <f>IF(OR(L117="",D117="",O117="납품완료",O117="취소"),"",IF(L117&lt;TODAY(),"지연",IF(L117-TODAY()&lt;=$L$1,"임박","")))</f>
        <v/>
      </c>
      <c r="Q117" s="14" t="n"/>
      <c r="R117" s="15" t="n"/>
      <c r="S117" s="18">
        <f>IF(F117="","",IF(COUNTIF(F$4:F117,F117)=1,MAX(S$3:S116)+1,""))</f>
        <v/>
      </c>
    </row>
    <row r="118">
      <c r="A118" s="12" t="n"/>
      <c r="B118" s="13" t="n"/>
      <c r="C118" s="14" t="n"/>
      <c r="D118" s="15" t="n"/>
      <c r="E118" s="15" t="n"/>
      <c r="F118" s="15" t="n"/>
      <c r="G118" s="15" t="n"/>
      <c r="H118" s="16" t="n"/>
      <c r="I118" s="14" t="n"/>
      <c r="J118" s="17" t="n"/>
      <c r="K118" s="17">
        <f>IF(OR(H118="",J118=""),"",H118*J118)</f>
        <v/>
      </c>
      <c r="L118" s="12" t="n"/>
      <c r="M118" s="15" t="n"/>
      <c r="N118" s="15" t="n"/>
      <c r="O118" s="14" t="n"/>
      <c r="P118" s="14">
        <f>IF(OR(L118="",D118="",O118="납품완료",O118="취소"),"",IF(L118&lt;TODAY(),"지연",IF(L118-TODAY()&lt;=$L$1,"임박","")))</f>
        <v/>
      </c>
      <c r="Q118" s="14" t="n"/>
      <c r="R118" s="15" t="n"/>
      <c r="S118" s="18">
        <f>IF(F118="","",IF(COUNTIF(F$4:F118,F118)=1,MAX(S$3:S117)+1,""))</f>
        <v/>
      </c>
    </row>
    <row r="119">
      <c r="A119" s="12" t="n"/>
      <c r="B119" s="13" t="n"/>
      <c r="C119" s="14" t="n"/>
      <c r="D119" s="15" t="n"/>
      <c r="E119" s="15" t="n"/>
      <c r="F119" s="15" t="n"/>
      <c r="G119" s="15" t="n"/>
      <c r="H119" s="16" t="n"/>
      <c r="I119" s="14" t="n"/>
      <c r="J119" s="17" t="n"/>
      <c r="K119" s="17">
        <f>IF(OR(H119="",J119=""),"",H119*J119)</f>
        <v/>
      </c>
      <c r="L119" s="12" t="n"/>
      <c r="M119" s="15" t="n"/>
      <c r="N119" s="15" t="n"/>
      <c r="O119" s="14" t="n"/>
      <c r="P119" s="14">
        <f>IF(OR(L119="",D119="",O119="납품완료",O119="취소"),"",IF(L119&lt;TODAY(),"지연",IF(L119-TODAY()&lt;=$L$1,"임박","")))</f>
        <v/>
      </c>
      <c r="Q119" s="14" t="n"/>
      <c r="R119" s="15" t="n"/>
      <c r="S119" s="18">
        <f>IF(F119="","",IF(COUNTIF(F$4:F119,F119)=1,MAX(S$3:S118)+1,""))</f>
        <v/>
      </c>
    </row>
    <row r="120">
      <c r="A120" s="12" t="n"/>
      <c r="B120" s="13" t="n"/>
      <c r="C120" s="14" t="n"/>
      <c r="D120" s="15" t="n"/>
      <c r="E120" s="15" t="n"/>
      <c r="F120" s="15" t="n"/>
      <c r="G120" s="15" t="n"/>
      <c r="H120" s="16" t="n"/>
      <c r="I120" s="14" t="n"/>
      <c r="J120" s="17" t="n"/>
      <c r="K120" s="17">
        <f>IF(OR(H120="",J120=""),"",H120*J120)</f>
        <v/>
      </c>
      <c r="L120" s="12" t="n"/>
      <c r="M120" s="15" t="n"/>
      <c r="N120" s="15" t="n"/>
      <c r="O120" s="14" t="n"/>
      <c r="P120" s="14">
        <f>IF(OR(L120="",D120="",O120="납품완료",O120="취소"),"",IF(L120&lt;TODAY(),"지연",IF(L120-TODAY()&lt;=$L$1,"임박","")))</f>
        <v/>
      </c>
      <c r="Q120" s="14" t="n"/>
      <c r="R120" s="15" t="n"/>
      <c r="S120" s="18">
        <f>IF(F120="","",IF(COUNTIF(F$4:F120,F120)=1,MAX(S$3:S119)+1,""))</f>
        <v/>
      </c>
    </row>
    <row r="121">
      <c r="A121" s="12" t="n"/>
      <c r="B121" s="13" t="n"/>
      <c r="C121" s="14" t="n"/>
      <c r="D121" s="15" t="n"/>
      <c r="E121" s="15" t="n"/>
      <c r="F121" s="15" t="n"/>
      <c r="G121" s="15" t="n"/>
      <c r="H121" s="16" t="n"/>
      <c r="I121" s="14" t="n"/>
      <c r="J121" s="17" t="n"/>
      <c r="K121" s="17">
        <f>IF(OR(H121="",J121=""),"",H121*J121)</f>
        <v/>
      </c>
      <c r="L121" s="12" t="n"/>
      <c r="M121" s="15" t="n"/>
      <c r="N121" s="15" t="n"/>
      <c r="O121" s="14" t="n"/>
      <c r="P121" s="14">
        <f>IF(OR(L121="",D121="",O121="납품완료",O121="취소"),"",IF(L121&lt;TODAY(),"지연",IF(L121-TODAY()&lt;=$L$1,"임박","")))</f>
        <v/>
      </c>
      <c r="Q121" s="14" t="n"/>
      <c r="R121" s="15" t="n"/>
      <c r="S121" s="18">
        <f>IF(F121="","",IF(COUNTIF(F$4:F121,F121)=1,MAX(S$3:S120)+1,""))</f>
        <v/>
      </c>
    </row>
    <row r="122">
      <c r="A122" s="12" t="n"/>
      <c r="B122" s="13" t="n"/>
      <c r="C122" s="14" t="n"/>
      <c r="D122" s="15" t="n"/>
      <c r="E122" s="15" t="n"/>
      <c r="F122" s="15" t="n"/>
      <c r="G122" s="15" t="n"/>
      <c r="H122" s="16" t="n"/>
      <c r="I122" s="14" t="n"/>
      <c r="J122" s="17" t="n"/>
      <c r="K122" s="17">
        <f>IF(OR(H122="",J122=""),"",H122*J122)</f>
        <v/>
      </c>
      <c r="L122" s="12" t="n"/>
      <c r="M122" s="15" t="n"/>
      <c r="N122" s="15" t="n"/>
      <c r="O122" s="14" t="n"/>
      <c r="P122" s="14">
        <f>IF(OR(L122="",D122="",O122="납품완료",O122="취소"),"",IF(L122&lt;TODAY(),"지연",IF(L122-TODAY()&lt;=$L$1,"임박","")))</f>
        <v/>
      </c>
      <c r="Q122" s="14" t="n"/>
      <c r="R122" s="15" t="n"/>
      <c r="S122" s="18">
        <f>IF(F122="","",IF(COUNTIF(F$4:F122,F122)=1,MAX(S$3:S121)+1,""))</f>
        <v/>
      </c>
    </row>
    <row r="123">
      <c r="A123" s="12" t="n"/>
      <c r="B123" s="13" t="n"/>
      <c r="C123" s="14" t="n"/>
      <c r="D123" s="15" t="n"/>
      <c r="E123" s="15" t="n"/>
      <c r="F123" s="15" t="n"/>
      <c r="G123" s="15" t="n"/>
      <c r="H123" s="16" t="n"/>
      <c r="I123" s="14" t="n"/>
      <c r="J123" s="17" t="n"/>
      <c r="K123" s="17">
        <f>IF(OR(H123="",J123=""),"",H123*J123)</f>
        <v/>
      </c>
      <c r="L123" s="12" t="n"/>
      <c r="M123" s="15" t="n"/>
      <c r="N123" s="15" t="n"/>
      <c r="O123" s="14" t="n"/>
      <c r="P123" s="14">
        <f>IF(OR(L123="",D123="",O123="납품완료",O123="취소"),"",IF(L123&lt;TODAY(),"지연",IF(L123-TODAY()&lt;=$L$1,"임박","")))</f>
        <v/>
      </c>
      <c r="Q123" s="14" t="n"/>
      <c r="R123" s="15" t="n"/>
      <c r="S123" s="18">
        <f>IF(F123="","",IF(COUNTIF(F$4:F123,F123)=1,MAX(S$3:S122)+1,""))</f>
        <v/>
      </c>
    </row>
    <row r="124">
      <c r="A124" s="12" t="n"/>
      <c r="B124" s="13" t="n"/>
      <c r="C124" s="14" t="n"/>
      <c r="D124" s="15" t="n"/>
      <c r="E124" s="15" t="n"/>
      <c r="F124" s="15" t="n"/>
      <c r="G124" s="15" t="n"/>
      <c r="H124" s="16" t="n"/>
      <c r="I124" s="14" t="n"/>
      <c r="J124" s="17" t="n"/>
      <c r="K124" s="17">
        <f>IF(OR(H124="",J124=""),"",H124*J124)</f>
        <v/>
      </c>
      <c r="L124" s="12" t="n"/>
      <c r="M124" s="15" t="n"/>
      <c r="N124" s="15" t="n"/>
      <c r="O124" s="14" t="n"/>
      <c r="P124" s="14">
        <f>IF(OR(L124="",D124="",O124="납품완료",O124="취소"),"",IF(L124&lt;TODAY(),"지연",IF(L124-TODAY()&lt;=$L$1,"임박","")))</f>
        <v/>
      </c>
      <c r="Q124" s="14" t="n"/>
      <c r="R124" s="15" t="n"/>
      <c r="S124" s="18">
        <f>IF(F124="","",IF(COUNTIF(F$4:F124,F124)=1,MAX(S$3:S123)+1,""))</f>
        <v/>
      </c>
    </row>
    <row r="125">
      <c r="A125" s="12" t="n"/>
      <c r="B125" s="13" t="n"/>
      <c r="C125" s="14" t="n"/>
      <c r="D125" s="15" t="n"/>
      <c r="E125" s="15" t="n"/>
      <c r="F125" s="15" t="n"/>
      <c r="G125" s="15" t="n"/>
      <c r="H125" s="16" t="n"/>
      <c r="I125" s="14" t="n"/>
      <c r="J125" s="17" t="n"/>
      <c r="K125" s="17">
        <f>IF(OR(H125="",J125=""),"",H125*J125)</f>
        <v/>
      </c>
      <c r="L125" s="12" t="n"/>
      <c r="M125" s="15" t="n"/>
      <c r="N125" s="15" t="n"/>
      <c r="O125" s="14" t="n"/>
      <c r="P125" s="14">
        <f>IF(OR(L125="",D125="",O125="납품완료",O125="취소"),"",IF(L125&lt;TODAY(),"지연",IF(L125-TODAY()&lt;=$L$1,"임박","")))</f>
        <v/>
      </c>
      <c r="Q125" s="14" t="n"/>
      <c r="R125" s="15" t="n"/>
      <c r="S125" s="18">
        <f>IF(F125="","",IF(COUNTIF(F$4:F125,F125)=1,MAX(S$3:S124)+1,""))</f>
        <v/>
      </c>
    </row>
    <row r="126">
      <c r="A126" s="12" t="n"/>
      <c r="B126" s="13" t="n"/>
      <c r="C126" s="14" t="n"/>
      <c r="D126" s="15" t="n"/>
      <c r="E126" s="15" t="n"/>
      <c r="F126" s="15" t="n"/>
      <c r="G126" s="15" t="n"/>
      <c r="H126" s="16" t="n"/>
      <c r="I126" s="14" t="n"/>
      <c r="J126" s="17" t="n"/>
      <c r="K126" s="17">
        <f>IF(OR(H126="",J126=""),"",H126*J126)</f>
        <v/>
      </c>
      <c r="L126" s="12" t="n"/>
      <c r="M126" s="15" t="n"/>
      <c r="N126" s="15" t="n"/>
      <c r="O126" s="14" t="n"/>
      <c r="P126" s="14">
        <f>IF(OR(L126="",D126="",O126="납품완료",O126="취소"),"",IF(L126&lt;TODAY(),"지연",IF(L126-TODAY()&lt;=$L$1,"임박","")))</f>
        <v/>
      </c>
      <c r="Q126" s="14" t="n"/>
      <c r="R126" s="15" t="n"/>
      <c r="S126" s="18">
        <f>IF(F126="","",IF(COUNTIF(F$4:F126,F126)=1,MAX(S$3:S125)+1,""))</f>
        <v/>
      </c>
    </row>
    <row r="127">
      <c r="A127" s="12" t="n"/>
      <c r="B127" s="13" t="n"/>
      <c r="C127" s="14" t="n"/>
      <c r="D127" s="15" t="n"/>
      <c r="E127" s="15" t="n"/>
      <c r="F127" s="15" t="n"/>
      <c r="G127" s="15" t="n"/>
      <c r="H127" s="16" t="n"/>
      <c r="I127" s="14" t="n"/>
      <c r="J127" s="17" t="n"/>
      <c r="K127" s="17">
        <f>IF(OR(H127="",J127=""),"",H127*J127)</f>
        <v/>
      </c>
      <c r="L127" s="12" t="n"/>
      <c r="M127" s="15" t="n"/>
      <c r="N127" s="15" t="n"/>
      <c r="O127" s="14" t="n"/>
      <c r="P127" s="14">
        <f>IF(OR(L127="",D127="",O127="납품완료",O127="취소"),"",IF(L127&lt;TODAY(),"지연",IF(L127-TODAY()&lt;=$L$1,"임박","")))</f>
        <v/>
      </c>
      <c r="Q127" s="14" t="n"/>
      <c r="R127" s="15" t="n"/>
      <c r="S127" s="18">
        <f>IF(F127="","",IF(COUNTIF(F$4:F127,F127)=1,MAX(S$3:S126)+1,""))</f>
        <v/>
      </c>
    </row>
    <row r="128">
      <c r="A128" s="12" t="n"/>
      <c r="B128" s="13" t="n"/>
      <c r="C128" s="14" t="n"/>
      <c r="D128" s="15" t="n"/>
      <c r="E128" s="15" t="n"/>
      <c r="F128" s="15" t="n"/>
      <c r="G128" s="15" t="n"/>
      <c r="H128" s="16" t="n"/>
      <c r="I128" s="14" t="n"/>
      <c r="J128" s="17" t="n"/>
      <c r="K128" s="17">
        <f>IF(OR(H128="",J128=""),"",H128*J128)</f>
        <v/>
      </c>
      <c r="L128" s="12" t="n"/>
      <c r="M128" s="15" t="n"/>
      <c r="N128" s="15" t="n"/>
      <c r="O128" s="14" t="n"/>
      <c r="P128" s="14">
        <f>IF(OR(L128="",D128="",O128="납품완료",O128="취소"),"",IF(L128&lt;TODAY(),"지연",IF(L128-TODAY()&lt;=$L$1,"임박","")))</f>
        <v/>
      </c>
      <c r="Q128" s="14" t="n"/>
      <c r="R128" s="15" t="n"/>
      <c r="S128" s="18">
        <f>IF(F128="","",IF(COUNTIF(F$4:F128,F128)=1,MAX(S$3:S127)+1,""))</f>
        <v/>
      </c>
    </row>
    <row r="129">
      <c r="A129" s="12" t="n"/>
      <c r="B129" s="13" t="n"/>
      <c r="C129" s="14" t="n"/>
      <c r="D129" s="15" t="n"/>
      <c r="E129" s="15" t="n"/>
      <c r="F129" s="15" t="n"/>
      <c r="G129" s="15" t="n"/>
      <c r="H129" s="16" t="n"/>
      <c r="I129" s="14" t="n"/>
      <c r="J129" s="17" t="n"/>
      <c r="K129" s="17">
        <f>IF(OR(H129="",J129=""),"",H129*J129)</f>
        <v/>
      </c>
      <c r="L129" s="12" t="n"/>
      <c r="M129" s="15" t="n"/>
      <c r="N129" s="15" t="n"/>
      <c r="O129" s="14" t="n"/>
      <c r="P129" s="14">
        <f>IF(OR(L129="",D129="",O129="납품완료",O129="취소"),"",IF(L129&lt;TODAY(),"지연",IF(L129-TODAY()&lt;=$L$1,"임박","")))</f>
        <v/>
      </c>
      <c r="Q129" s="14" t="n"/>
      <c r="R129" s="15" t="n"/>
      <c r="S129" s="18">
        <f>IF(F129="","",IF(COUNTIF(F$4:F129,F129)=1,MAX(S$3:S128)+1,""))</f>
        <v/>
      </c>
    </row>
    <row r="130">
      <c r="A130" s="12" t="n"/>
      <c r="B130" s="13" t="n"/>
      <c r="C130" s="14" t="n"/>
      <c r="D130" s="15" t="n"/>
      <c r="E130" s="15" t="n"/>
      <c r="F130" s="15" t="n"/>
      <c r="G130" s="15" t="n"/>
      <c r="H130" s="16" t="n"/>
      <c r="I130" s="14" t="n"/>
      <c r="J130" s="17" t="n"/>
      <c r="K130" s="17">
        <f>IF(OR(H130="",J130=""),"",H130*J130)</f>
        <v/>
      </c>
      <c r="L130" s="12" t="n"/>
      <c r="M130" s="15" t="n"/>
      <c r="N130" s="15" t="n"/>
      <c r="O130" s="14" t="n"/>
      <c r="P130" s="14">
        <f>IF(OR(L130="",D130="",O130="납품완료",O130="취소"),"",IF(L130&lt;TODAY(),"지연",IF(L130-TODAY()&lt;=$L$1,"임박","")))</f>
        <v/>
      </c>
      <c r="Q130" s="14" t="n"/>
      <c r="R130" s="15" t="n"/>
      <c r="S130" s="18">
        <f>IF(F130="","",IF(COUNTIF(F$4:F130,F130)=1,MAX(S$3:S129)+1,""))</f>
        <v/>
      </c>
    </row>
    <row r="131">
      <c r="A131" s="12" t="n"/>
      <c r="B131" s="13" t="n"/>
      <c r="C131" s="14" t="n"/>
      <c r="D131" s="15" t="n"/>
      <c r="E131" s="15" t="n"/>
      <c r="F131" s="15" t="n"/>
      <c r="G131" s="15" t="n"/>
      <c r="H131" s="16" t="n"/>
      <c r="I131" s="14" t="n"/>
      <c r="J131" s="17" t="n"/>
      <c r="K131" s="17">
        <f>IF(OR(H131="",J131=""),"",H131*J131)</f>
        <v/>
      </c>
      <c r="L131" s="12" t="n"/>
      <c r="M131" s="15" t="n"/>
      <c r="N131" s="15" t="n"/>
      <c r="O131" s="14" t="n"/>
      <c r="P131" s="14">
        <f>IF(OR(L131="",D131="",O131="납품완료",O131="취소"),"",IF(L131&lt;TODAY(),"지연",IF(L131-TODAY()&lt;=$L$1,"임박","")))</f>
        <v/>
      </c>
      <c r="Q131" s="14" t="n"/>
      <c r="R131" s="15" t="n"/>
      <c r="S131" s="18">
        <f>IF(F131="","",IF(COUNTIF(F$4:F131,F131)=1,MAX(S$3:S130)+1,""))</f>
        <v/>
      </c>
    </row>
    <row r="132">
      <c r="A132" s="12" t="n"/>
      <c r="B132" s="13" t="n"/>
      <c r="C132" s="14" t="n"/>
      <c r="D132" s="15" t="n"/>
      <c r="E132" s="15" t="n"/>
      <c r="F132" s="15" t="n"/>
      <c r="G132" s="15" t="n"/>
      <c r="H132" s="16" t="n"/>
      <c r="I132" s="14" t="n"/>
      <c r="J132" s="17" t="n"/>
      <c r="K132" s="17">
        <f>IF(OR(H132="",J132=""),"",H132*J132)</f>
        <v/>
      </c>
      <c r="L132" s="12" t="n"/>
      <c r="M132" s="15" t="n"/>
      <c r="N132" s="15" t="n"/>
      <c r="O132" s="14" t="n"/>
      <c r="P132" s="14">
        <f>IF(OR(L132="",D132="",O132="납품완료",O132="취소"),"",IF(L132&lt;TODAY(),"지연",IF(L132-TODAY()&lt;=$L$1,"임박","")))</f>
        <v/>
      </c>
      <c r="Q132" s="14" t="n"/>
      <c r="R132" s="15" t="n"/>
      <c r="S132" s="18">
        <f>IF(F132="","",IF(COUNTIF(F$4:F132,F132)=1,MAX(S$3:S131)+1,""))</f>
        <v/>
      </c>
    </row>
    <row r="133">
      <c r="A133" s="12" t="n"/>
      <c r="B133" s="13" t="n"/>
      <c r="C133" s="14" t="n"/>
      <c r="D133" s="15" t="n"/>
      <c r="E133" s="15" t="n"/>
      <c r="F133" s="15" t="n"/>
      <c r="G133" s="15" t="n"/>
      <c r="H133" s="16" t="n"/>
      <c r="I133" s="14" t="n"/>
      <c r="J133" s="17" t="n"/>
      <c r="K133" s="17">
        <f>IF(OR(H133="",J133=""),"",H133*J133)</f>
        <v/>
      </c>
      <c r="L133" s="12" t="n"/>
      <c r="M133" s="15" t="n"/>
      <c r="N133" s="15" t="n"/>
      <c r="O133" s="14" t="n"/>
      <c r="P133" s="14">
        <f>IF(OR(L133="",D133="",O133="납품완료",O133="취소"),"",IF(L133&lt;TODAY(),"지연",IF(L133-TODAY()&lt;=$L$1,"임박","")))</f>
        <v/>
      </c>
      <c r="Q133" s="14" t="n"/>
      <c r="R133" s="15" t="n"/>
      <c r="S133" s="18">
        <f>IF(F133="","",IF(COUNTIF(F$4:F133,F133)=1,MAX(S$3:S132)+1,""))</f>
        <v/>
      </c>
    </row>
    <row r="134">
      <c r="A134" s="12" t="n"/>
      <c r="B134" s="13" t="n"/>
      <c r="C134" s="14" t="n"/>
      <c r="D134" s="15" t="n"/>
      <c r="E134" s="15" t="n"/>
      <c r="F134" s="15" t="n"/>
      <c r="G134" s="15" t="n"/>
      <c r="H134" s="16" t="n"/>
      <c r="I134" s="14" t="n"/>
      <c r="J134" s="17" t="n"/>
      <c r="K134" s="17">
        <f>IF(OR(H134="",J134=""),"",H134*J134)</f>
        <v/>
      </c>
      <c r="L134" s="12" t="n"/>
      <c r="M134" s="15" t="n"/>
      <c r="N134" s="15" t="n"/>
      <c r="O134" s="14" t="n"/>
      <c r="P134" s="14">
        <f>IF(OR(L134="",D134="",O134="납품완료",O134="취소"),"",IF(L134&lt;TODAY(),"지연",IF(L134-TODAY()&lt;=$L$1,"임박","")))</f>
        <v/>
      </c>
      <c r="Q134" s="14" t="n"/>
      <c r="R134" s="15" t="n"/>
      <c r="S134" s="18">
        <f>IF(F134="","",IF(COUNTIF(F$4:F134,F134)=1,MAX(S$3:S133)+1,""))</f>
        <v/>
      </c>
    </row>
    <row r="135">
      <c r="A135" s="12" t="n"/>
      <c r="B135" s="13" t="n"/>
      <c r="C135" s="14" t="n"/>
      <c r="D135" s="15" t="n"/>
      <c r="E135" s="15" t="n"/>
      <c r="F135" s="15" t="n"/>
      <c r="G135" s="15" t="n"/>
      <c r="H135" s="16" t="n"/>
      <c r="I135" s="14" t="n"/>
      <c r="J135" s="17" t="n"/>
      <c r="K135" s="17">
        <f>IF(OR(H135="",J135=""),"",H135*J135)</f>
        <v/>
      </c>
      <c r="L135" s="12" t="n"/>
      <c r="M135" s="15" t="n"/>
      <c r="N135" s="15" t="n"/>
      <c r="O135" s="14" t="n"/>
      <c r="P135" s="14">
        <f>IF(OR(L135="",D135="",O135="납품완료",O135="취소"),"",IF(L135&lt;TODAY(),"지연",IF(L135-TODAY()&lt;=$L$1,"임박","")))</f>
        <v/>
      </c>
      <c r="Q135" s="14" t="n"/>
      <c r="R135" s="15" t="n"/>
      <c r="S135" s="18">
        <f>IF(F135="","",IF(COUNTIF(F$4:F135,F135)=1,MAX(S$3:S134)+1,""))</f>
        <v/>
      </c>
    </row>
    <row r="136">
      <c r="A136" s="12" t="n"/>
      <c r="B136" s="13" t="n"/>
      <c r="C136" s="14" t="n"/>
      <c r="D136" s="15" t="n"/>
      <c r="E136" s="15" t="n"/>
      <c r="F136" s="15" t="n"/>
      <c r="G136" s="15" t="n"/>
      <c r="H136" s="16" t="n"/>
      <c r="I136" s="14" t="n"/>
      <c r="J136" s="17" t="n"/>
      <c r="K136" s="17">
        <f>IF(OR(H136="",J136=""),"",H136*J136)</f>
        <v/>
      </c>
      <c r="L136" s="12" t="n"/>
      <c r="M136" s="15" t="n"/>
      <c r="N136" s="15" t="n"/>
      <c r="O136" s="14" t="n"/>
      <c r="P136" s="14">
        <f>IF(OR(L136="",D136="",O136="납품완료",O136="취소"),"",IF(L136&lt;TODAY(),"지연",IF(L136-TODAY()&lt;=$L$1,"임박","")))</f>
        <v/>
      </c>
      <c r="Q136" s="14" t="n"/>
      <c r="R136" s="15" t="n"/>
      <c r="S136" s="18">
        <f>IF(F136="","",IF(COUNTIF(F$4:F136,F136)=1,MAX(S$3:S135)+1,""))</f>
        <v/>
      </c>
    </row>
    <row r="137">
      <c r="A137" s="12" t="n"/>
      <c r="B137" s="13" t="n"/>
      <c r="C137" s="14" t="n"/>
      <c r="D137" s="15" t="n"/>
      <c r="E137" s="15" t="n"/>
      <c r="F137" s="15" t="n"/>
      <c r="G137" s="15" t="n"/>
      <c r="H137" s="16" t="n"/>
      <c r="I137" s="14" t="n"/>
      <c r="J137" s="17" t="n"/>
      <c r="K137" s="17">
        <f>IF(OR(H137="",J137=""),"",H137*J137)</f>
        <v/>
      </c>
      <c r="L137" s="12" t="n"/>
      <c r="M137" s="15" t="n"/>
      <c r="N137" s="15" t="n"/>
      <c r="O137" s="14" t="n"/>
      <c r="P137" s="14">
        <f>IF(OR(L137="",D137="",O137="납품완료",O137="취소"),"",IF(L137&lt;TODAY(),"지연",IF(L137-TODAY()&lt;=$L$1,"임박","")))</f>
        <v/>
      </c>
      <c r="Q137" s="14" t="n"/>
      <c r="R137" s="15" t="n"/>
      <c r="S137" s="18">
        <f>IF(F137="","",IF(COUNTIF(F$4:F137,F137)=1,MAX(S$3:S136)+1,""))</f>
        <v/>
      </c>
    </row>
    <row r="138">
      <c r="A138" s="12" t="n"/>
      <c r="B138" s="13" t="n"/>
      <c r="C138" s="14" t="n"/>
      <c r="D138" s="15" t="n"/>
      <c r="E138" s="15" t="n"/>
      <c r="F138" s="15" t="n"/>
      <c r="G138" s="15" t="n"/>
      <c r="H138" s="16" t="n"/>
      <c r="I138" s="14" t="n"/>
      <c r="J138" s="17" t="n"/>
      <c r="K138" s="17">
        <f>IF(OR(H138="",J138=""),"",H138*J138)</f>
        <v/>
      </c>
      <c r="L138" s="12" t="n"/>
      <c r="M138" s="15" t="n"/>
      <c r="N138" s="15" t="n"/>
      <c r="O138" s="14" t="n"/>
      <c r="P138" s="14">
        <f>IF(OR(L138="",D138="",O138="납품완료",O138="취소"),"",IF(L138&lt;TODAY(),"지연",IF(L138-TODAY()&lt;=$L$1,"임박","")))</f>
        <v/>
      </c>
      <c r="Q138" s="14" t="n"/>
      <c r="R138" s="15" t="n"/>
      <c r="S138" s="18">
        <f>IF(F138="","",IF(COUNTIF(F$4:F138,F138)=1,MAX(S$3:S137)+1,""))</f>
        <v/>
      </c>
    </row>
    <row r="139">
      <c r="A139" s="12" t="n"/>
      <c r="B139" s="13" t="n"/>
      <c r="C139" s="14" t="n"/>
      <c r="D139" s="15" t="n"/>
      <c r="E139" s="15" t="n"/>
      <c r="F139" s="15" t="n"/>
      <c r="G139" s="15" t="n"/>
      <c r="H139" s="16" t="n"/>
      <c r="I139" s="14" t="n"/>
      <c r="J139" s="17" t="n"/>
      <c r="K139" s="17">
        <f>IF(OR(H139="",J139=""),"",H139*J139)</f>
        <v/>
      </c>
      <c r="L139" s="12" t="n"/>
      <c r="M139" s="15" t="n"/>
      <c r="N139" s="15" t="n"/>
      <c r="O139" s="14" t="n"/>
      <c r="P139" s="14">
        <f>IF(OR(L139="",D139="",O139="납품완료",O139="취소"),"",IF(L139&lt;TODAY(),"지연",IF(L139-TODAY()&lt;=$L$1,"임박","")))</f>
        <v/>
      </c>
      <c r="Q139" s="14" t="n"/>
      <c r="R139" s="15" t="n"/>
      <c r="S139" s="18">
        <f>IF(F139="","",IF(COUNTIF(F$4:F139,F139)=1,MAX(S$3:S138)+1,""))</f>
        <v/>
      </c>
    </row>
    <row r="140">
      <c r="A140" s="12" t="n"/>
      <c r="B140" s="13" t="n"/>
      <c r="C140" s="14" t="n"/>
      <c r="D140" s="15" t="n"/>
      <c r="E140" s="15" t="n"/>
      <c r="F140" s="15" t="n"/>
      <c r="G140" s="15" t="n"/>
      <c r="H140" s="16" t="n"/>
      <c r="I140" s="14" t="n"/>
      <c r="J140" s="17" t="n"/>
      <c r="K140" s="17">
        <f>IF(OR(H140="",J140=""),"",H140*J140)</f>
        <v/>
      </c>
      <c r="L140" s="12" t="n"/>
      <c r="M140" s="15" t="n"/>
      <c r="N140" s="15" t="n"/>
      <c r="O140" s="14" t="n"/>
      <c r="P140" s="14">
        <f>IF(OR(L140="",D140="",O140="납품완료",O140="취소"),"",IF(L140&lt;TODAY(),"지연",IF(L140-TODAY()&lt;=$L$1,"임박","")))</f>
        <v/>
      </c>
      <c r="Q140" s="14" t="n"/>
      <c r="R140" s="15" t="n"/>
      <c r="S140" s="18">
        <f>IF(F140="","",IF(COUNTIF(F$4:F140,F140)=1,MAX(S$3:S139)+1,""))</f>
        <v/>
      </c>
    </row>
    <row r="141">
      <c r="A141" s="12" t="n"/>
      <c r="B141" s="13" t="n"/>
      <c r="C141" s="14" t="n"/>
      <c r="D141" s="15" t="n"/>
      <c r="E141" s="15" t="n"/>
      <c r="F141" s="15" t="n"/>
      <c r="G141" s="15" t="n"/>
      <c r="H141" s="16" t="n"/>
      <c r="I141" s="14" t="n"/>
      <c r="J141" s="17" t="n"/>
      <c r="K141" s="17">
        <f>IF(OR(H141="",J141=""),"",H141*J141)</f>
        <v/>
      </c>
      <c r="L141" s="12" t="n"/>
      <c r="M141" s="15" t="n"/>
      <c r="N141" s="15" t="n"/>
      <c r="O141" s="14" t="n"/>
      <c r="P141" s="14">
        <f>IF(OR(L141="",D141="",O141="납품완료",O141="취소"),"",IF(L141&lt;TODAY(),"지연",IF(L141-TODAY()&lt;=$L$1,"임박","")))</f>
        <v/>
      </c>
      <c r="Q141" s="14" t="n"/>
      <c r="R141" s="15" t="n"/>
      <c r="S141" s="18">
        <f>IF(F141="","",IF(COUNTIF(F$4:F141,F141)=1,MAX(S$3:S140)+1,""))</f>
        <v/>
      </c>
    </row>
    <row r="142">
      <c r="A142" s="12" t="n"/>
      <c r="B142" s="13" t="n"/>
      <c r="C142" s="14" t="n"/>
      <c r="D142" s="15" t="n"/>
      <c r="E142" s="15" t="n"/>
      <c r="F142" s="15" t="n"/>
      <c r="G142" s="15" t="n"/>
      <c r="H142" s="16" t="n"/>
      <c r="I142" s="14" t="n"/>
      <c r="J142" s="17" t="n"/>
      <c r="K142" s="17">
        <f>IF(OR(H142="",J142=""),"",H142*J142)</f>
        <v/>
      </c>
      <c r="L142" s="12" t="n"/>
      <c r="M142" s="15" t="n"/>
      <c r="N142" s="15" t="n"/>
      <c r="O142" s="14" t="n"/>
      <c r="P142" s="14">
        <f>IF(OR(L142="",D142="",O142="납품완료",O142="취소"),"",IF(L142&lt;TODAY(),"지연",IF(L142-TODAY()&lt;=$L$1,"임박","")))</f>
        <v/>
      </c>
      <c r="Q142" s="14" t="n"/>
      <c r="R142" s="15" t="n"/>
      <c r="S142" s="18">
        <f>IF(F142="","",IF(COUNTIF(F$4:F142,F142)=1,MAX(S$3:S141)+1,""))</f>
        <v/>
      </c>
    </row>
    <row r="143">
      <c r="A143" s="12" t="n"/>
      <c r="B143" s="13" t="n"/>
      <c r="C143" s="14" t="n"/>
      <c r="D143" s="15" t="n"/>
      <c r="E143" s="15" t="n"/>
      <c r="F143" s="15" t="n"/>
      <c r="G143" s="15" t="n"/>
      <c r="H143" s="16" t="n"/>
      <c r="I143" s="14" t="n"/>
      <c r="J143" s="17" t="n"/>
      <c r="K143" s="17">
        <f>IF(OR(H143="",J143=""),"",H143*J143)</f>
        <v/>
      </c>
      <c r="L143" s="12" t="n"/>
      <c r="M143" s="15" t="n"/>
      <c r="N143" s="15" t="n"/>
      <c r="O143" s="14" t="n"/>
      <c r="P143" s="14">
        <f>IF(OR(L143="",D143="",O143="납품완료",O143="취소"),"",IF(L143&lt;TODAY(),"지연",IF(L143-TODAY()&lt;=$L$1,"임박","")))</f>
        <v/>
      </c>
      <c r="Q143" s="14" t="n"/>
      <c r="R143" s="15" t="n"/>
      <c r="S143" s="18">
        <f>IF(F143="","",IF(COUNTIF(F$4:F143,F143)=1,MAX(S$3:S142)+1,""))</f>
        <v/>
      </c>
    </row>
    <row r="144">
      <c r="A144" s="12" t="n"/>
      <c r="B144" s="13" t="n"/>
      <c r="C144" s="14" t="n"/>
      <c r="D144" s="15" t="n"/>
      <c r="E144" s="15" t="n"/>
      <c r="F144" s="15" t="n"/>
      <c r="G144" s="15" t="n"/>
      <c r="H144" s="16" t="n"/>
      <c r="I144" s="14" t="n"/>
      <c r="J144" s="17" t="n"/>
      <c r="K144" s="17">
        <f>IF(OR(H144="",J144=""),"",H144*J144)</f>
        <v/>
      </c>
      <c r="L144" s="12" t="n"/>
      <c r="M144" s="15" t="n"/>
      <c r="N144" s="15" t="n"/>
      <c r="O144" s="14" t="n"/>
      <c r="P144" s="14">
        <f>IF(OR(L144="",D144="",O144="납품완료",O144="취소"),"",IF(L144&lt;TODAY(),"지연",IF(L144-TODAY()&lt;=$L$1,"임박","")))</f>
        <v/>
      </c>
      <c r="Q144" s="14" t="n"/>
      <c r="R144" s="15" t="n"/>
      <c r="S144" s="18">
        <f>IF(F144="","",IF(COUNTIF(F$4:F144,F144)=1,MAX(S$3:S143)+1,""))</f>
        <v/>
      </c>
    </row>
    <row r="145">
      <c r="A145" s="12" t="n"/>
      <c r="B145" s="13" t="n"/>
      <c r="C145" s="14" t="n"/>
      <c r="D145" s="15" t="n"/>
      <c r="E145" s="15" t="n"/>
      <c r="F145" s="15" t="n"/>
      <c r="G145" s="15" t="n"/>
      <c r="H145" s="16" t="n"/>
      <c r="I145" s="14" t="n"/>
      <c r="J145" s="17" t="n"/>
      <c r="K145" s="17">
        <f>IF(OR(H145="",J145=""),"",H145*J145)</f>
        <v/>
      </c>
      <c r="L145" s="12" t="n"/>
      <c r="M145" s="15" t="n"/>
      <c r="N145" s="15" t="n"/>
      <c r="O145" s="14" t="n"/>
      <c r="P145" s="14">
        <f>IF(OR(L145="",D145="",O145="납품완료",O145="취소"),"",IF(L145&lt;TODAY(),"지연",IF(L145-TODAY()&lt;=$L$1,"임박","")))</f>
        <v/>
      </c>
      <c r="Q145" s="14" t="n"/>
      <c r="R145" s="15" t="n"/>
      <c r="S145" s="18">
        <f>IF(F145="","",IF(COUNTIF(F$4:F145,F145)=1,MAX(S$3:S144)+1,""))</f>
        <v/>
      </c>
    </row>
    <row r="146">
      <c r="A146" s="12" t="n"/>
      <c r="B146" s="13" t="n"/>
      <c r="C146" s="14" t="n"/>
      <c r="D146" s="15" t="n"/>
      <c r="E146" s="15" t="n"/>
      <c r="F146" s="15" t="n"/>
      <c r="G146" s="15" t="n"/>
      <c r="H146" s="16" t="n"/>
      <c r="I146" s="14" t="n"/>
      <c r="J146" s="17" t="n"/>
      <c r="K146" s="17">
        <f>IF(OR(H146="",J146=""),"",H146*J146)</f>
        <v/>
      </c>
      <c r="L146" s="12" t="n"/>
      <c r="M146" s="15" t="n"/>
      <c r="N146" s="15" t="n"/>
      <c r="O146" s="14" t="n"/>
      <c r="P146" s="14">
        <f>IF(OR(L146="",D146="",O146="납품완료",O146="취소"),"",IF(L146&lt;TODAY(),"지연",IF(L146-TODAY()&lt;=$L$1,"임박","")))</f>
        <v/>
      </c>
      <c r="Q146" s="14" t="n"/>
      <c r="R146" s="15" t="n"/>
      <c r="S146" s="18">
        <f>IF(F146="","",IF(COUNTIF(F$4:F146,F146)=1,MAX(S$3:S145)+1,""))</f>
        <v/>
      </c>
    </row>
    <row r="147">
      <c r="A147" s="12" t="n"/>
      <c r="B147" s="13" t="n"/>
      <c r="C147" s="14" t="n"/>
      <c r="D147" s="15" t="n"/>
      <c r="E147" s="15" t="n"/>
      <c r="F147" s="15" t="n"/>
      <c r="G147" s="15" t="n"/>
      <c r="H147" s="16" t="n"/>
      <c r="I147" s="14" t="n"/>
      <c r="J147" s="17" t="n"/>
      <c r="K147" s="17">
        <f>IF(OR(H147="",J147=""),"",H147*J147)</f>
        <v/>
      </c>
      <c r="L147" s="12" t="n"/>
      <c r="M147" s="15" t="n"/>
      <c r="N147" s="15" t="n"/>
      <c r="O147" s="14" t="n"/>
      <c r="P147" s="14">
        <f>IF(OR(L147="",D147="",O147="납품완료",O147="취소"),"",IF(L147&lt;TODAY(),"지연",IF(L147-TODAY()&lt;=$L$1,"임박","")))</f>
        <v/>
      </c>
      <c r="Q147" s="14" t="n"/>
      <c r="R147" s="15" t="n"/>
      <c r="S147" s="18">
        <f>IF(F147="","",IF(COUNTIF(F$4:F147,F147)=1,MAX(S$3:S146)+1,""))</f>
        <v/>
      </c>
    </row>
    <row r="148">
      <c r="A148" s="12" t="n"/>
      <c r="B148" s="13" t="n"/>
      <c r="C148" s="14" t="n"/>
      <c r="D148" s="15" t="n"/>
      <c r="E148" s="15" t="n"/>
      <c r="F148" s="15" t="n"/>
      <c r="G148" s="15" t="n"/>
      <c r="H148" s="16" t="n"/>
      <c r="I148" s="14" t="n"/>
      <c r="J148" s="17" t="n"/>
      <c r="K148" s="17">
        <f>IF(OR(H148="",J148=""),"",H148*J148)</f>
        <v/>
      </c>
      <c r="L148" s="12" t="n"/>
      <c r="M148" s="15" t="n"/>
      <c r="N148" s="15" t="n"/>
      <c r="O148" s="14" t="n"/>
      <c r="P148" s="14">
        <f>IF(OR(L148="",D148="",O148="납품완료",O148="취소"),"",IF(L148&lt;TODAY(),"지연",IF(L148-TODAY()&lt;=$L$1,"임박","")))</f>
        <v/>
      </c>
      <c r="Q148" s="14" t="n"/>
      <c r="R148" s="15" t="n"/>
      <c r="S148" s="18">
        <f>IF(F148="","",IF(COUNTIF(F$4:F148,F148)=1,MAX(S$3:S147)+1,""))</f>
        <v/>
      </c>
    </row>
    <row r="149">
      <c r="A149" s="12" t="n"/>
      <c r="B149" s="13" t="n"/>
      <c r="C149" s="14" t="n"/>
      <c r="D149" s="15" t="n"/>
      <c r="E149" s="15" t="n"/>
      <c r="F149" s="15" t="n"/>
      <c r="G149" s="15" t="n"/>
      <c r="H149" s="16" t="n"/>
      <c r="I149" s="14" t="n"/>
      <c r="J149" s="17" t="n"/>
      <c r="K149" s="17">
        <f>IF(OR(H149="",J149=""),"",H149*J149)</f>
        <v/>
      </c>
      <c r="L149" s="12" t="n"/>
      <c r="M149" s="15" t="n"/>
      <c r="N149" s="15" t="n"/>
      <c r="O149" s="14" t="n"/>
      <c r="P149" s="14">
        <f>IF(OR(L149="",D149="",O149="납품완료",O149="취소"),"",IF(L149&lt;TODAY(),"지연",IF(L149-TODAY()&lt;=$L$1,"임박","")))</f>
        <v/>
      </c>
      <c r="Q149" s="14" t="n"/>
      <c r="R149" s="15" t="n"/>
      <c r="S149" s="18">
        <f>IF(F149="","",IF(COUNTIF(F$4:F149,F149)=1,MAX(S$3:S148)+1,""))</f>
        <v/>
      </c>
    </row>
    <row r="150">
      <c r="A150" s="12" t="n"/>
      <c r="B150" s="13" t="n"/>
      <c r="C150" s="14" t="n"/>
      <c r="D150" s="15" t="n"/>
      <c r="E150" s="15" t="n"/>
      <c r="F150" s="15" t="n"/>
      <c r="G150" s="15" t="n"/>
      <c r="H150" s="16" t="n"/>
      <c r="I150" s="14" t="n"/>
      <c r="J150" s="17" t="n"/>
      <c r="K150" s="17">
        <f>IF(OR(H150="",J150=""),"",H150*J150)</f>
        <v/>
      </c>
      <c r="L150" s="12" t="n"/>
      <c r="M150" s="15" t="n"/>
      <c r="N150" s="15" t="n"/>
      <c r="O150" s="14" t="n"/>
      <c r="P150" s="14">
        <f>IF(OR(L150="",D150="",O150="납품완료",O150="취소"),"",IF(L150&lt;TODAY(),"지연",IF(L150-TODAY()&lt;=$L$1,"임박","")))</f>
        <v/>
      </c>
      <c r="Q150" s="14" t="n"/>
      <c r="R150" s="15" t="n"/>
      <c r="S150" s="18">
        <f>IF(F150="","",IF(COUNTIF(F$4:F150,F150)=1,MAX(S$3:S149)+1,""))</f>
        <v/>
      </c>
    </row>
    <row r="151">
      <c r="A151" s="12" t="n"/>
      <c r="B151" s="13" t="n"/>
      <c r="C151" s="14" t="n"/>
      <c r="D151" s="15" t="n"/>
      <c r="E151" s="15" t="n"/>
      <c r="F151" s="15" t="n"/>
      <c r="G151" s="15" t="n"/>
      <c r="H151" s="16" t="n"/>
      <c r="I151" s="14" t="n"/>
      <c r="J151" s="17" t="n"/>
      <c r="K151" s="17">
        <f>IF(OR(H151="",J151=""),"",H151*J151)</f>
        <v/>
      </c>
      <c r="L151" s="12" t="n"/>
      <c r="M151" s="15" t="n"/>
      <c r="N151" s="15" t="n"/>
      <c r="O151" s="14" t="n"/>
      <c r="P151" s="14">
        <f>IF(OR(L151="",D151="",O151="납품완료",O151="취소"),"",IF(L151&lt;TODAY(),"지연",IF(L151-TODAY()&lt;=$L$1,"임박","")))</f>
        <v/>
      </c>
      <c r="Q151" s="14" t="n"/>
      <c r="R151" s="15" t="n"/>
      <c r="S151" s="18">
        <f>IF(F151="","",IF(COUNTIF(F$4:F151,F151)=1,MAX(S$3:S150)+1,""))</f>
        <v/>
      </c>
    </row>
    <row r="152">
      <c r="A152" s="12" t="n"/>
      <c r="B152" s="13" t="n"/>
      <c r="C152" s="14" t="n"/>
      <c r="D152" s="15" t="n"/>
      <c r="E152" s="15" t="n"/>
      <c r="F152" s="15" t="n"/>
      <c r="G152" s="15" t="n"/>
      <c r="H152" s="16" t="n"/>
      <c r="I152" s="14" t="n"/>
      <c r="J152" s="17" t="n"/>
      <c r="K152" s="17">
        <f>IF(OR(H152="",J152=""),"",H152*J152)</f>
        <v/>
      </c>
      <c r="L152" s="12" t="n"/>
      <c r="M152" s="15" t="n"/>
      <c r="N152" s="15" t="n"/>
      <c r="O152" s="14" t="n"/>
      <c r="P152" s="14">
        <f>IF(OR(L152="",D152="",O152="납품완료",O152="취소"),"",IF(L152&lt;TODAY(),"지연",IF(L152-TODAY()&lt;=$L$1,"임박","")))</f>
        <v/>
      </c>
      <c r="Q152" s="14" t="n"/>
      <c r="R152" s="15" t="n"/>
      <c r="S152" s="18">
        <f>IF(F152="","",IF(COUNTIF(F$4:F152,F152)=1,MAX(S$3:S151)+1,""))</f>
        <v/>
      </c>
    </row>
    <row r="153">
      <c r="A153" s="12" t="n"/>
      <c r="B153" s="13" t="n"/>
      <c r="C153" s="14" t="n"/>
      <c r="D153" s="15" t="n"/>
      <c r="E153" s="15" t="n"/>
      <c r="F153" s="15" t="n"/>
      <c r="G153" s="15" t="n"/>
      <c r="H153" s="16" t="n"/>
      <c r="I153" s="14" t="n"/>
      <c r="J153" s="17" t="n"/>
      <c r="K153" s="17">
        <f>IF(OR(H153="",J153=""),"",H153*J153)</f>
        <v/>
      </c>
      <c r="L153" s="12" t="n"/>
      <c r="M153" s="15" t="n"/>
      <c r="N153" s="15" t="n"/>
      <c r="O153" s="14" t="n"/>
      <c r="P153" s="14">
        <f>IF(OR(L153="",D153="",O153="납품완료",O153="취소"),"",IF(L153&lt;TODAY(),"지연",IF(L153-TODAY()&lt;=$L$1,"임박","")))</f>
        <v/>
      </c>
      <c r="Q153" s="14" t="n"/>
      <c r="R153" s="15" t="n"/>
      <c r="S153" s="18">
        <f>IF(F153="","",IF(COUNTIF(F$4:F153,F153)=1,MAX(S$3:S152)+1,""))</f>
        <v/>
      </c>
    </row>
    <row r="154">
      <c r="A154" s="12" t="n"/>
      <c r="B154" s="13" t="n"/>
      <c r="C154" s="14" t="n"/>
      <c r="D154" s="15" t="n"/>
      <c r="E154" s="15" t="n"/>
      <c r="F154" s="15" t="n"/>
      <c r="G154" s="15" t="n"/>
      <c r="H154" s="16" t="n"/>
      <c r="I154" s="14" t="n"/>
      <c r="J154" s="17" t="n"/>
      <c r="K154" s="17">
        <f>IF(OR(H154="",J154=""),"",H154*J154)</f>
        <v/>
      </c>
      <c r="L154" s="12" t="n"/>
      <c r="M154" s="15" t="n"/>
      <c r="N154" s="15" t="n"/>
      <c r="O154" s="14" t="n"/>
      <c r="P154" s="14">
        <f>IF(OR(L154="",D154="",O154="납품완료",O154="취소"),"",IF(L154&lt;TODAY(),"지연",IF(L154-TODAY()&lt;=$L$1,"임박","")))</f>
        <v/>
      </c>
      <c r="Q154" s="14" t="n"/>
      <c r="R154" s="15" t="n"/>
      <c r="S154" s="18">
        <f>IF(F154="","",IF(COUNTIF(F$4:F154,F154)=1,MAX(S$3:S153)+1,""))</f>
        <v/>
      </c>
    </row>
    <row r="155">
      <c r="A155" s="12" t="n"/>
      <c r="B155" s="13" t="n"/>
      <c r="C155" s="14" t="n"/>
      <c r="D155" s="15" t="n"/>
      <c r="E155" s="15" t="n"/>
      <c r="F155" s="15" t="n"/>
      <c r="G155" s="15" t="n"/>
      <c r="H155" s="16" t="n"/>
      <c r="I155" s="14" t="n"/>
      <c r="J155" s="17" t="n"/>
      <c r="K155" s="17">
        <f>IF(OR(H155="",J155=""),"",H155*J155)</f>
        <v/>
      </c>
      <c r="L155" s="12" t="n"/>
      <c r="M155" s="15" t="n"/>
      <c r="N155" s="15" t="n"/>
      <c r="O155" s="14" t="n"/>
      <c r="P155" s="14">
        <f>IF(OR(L155="",D155="",O155="납품완료",O155="취소"),"",IF(L155&lt;TODAY(),"지연",IF(L155-TODAY()&lt;=$L$1,"임박","")))</f>
        <v/>
      </c>
      <c r="Q155" s="14" t="n"/>
      <c r="R155" s="15" t="n"/>
      <c r="S155" s="18">
        <f>IF(F155="","",IF(COUNTIF(F$4:F155,F155)=1,MAX(S$3:S154)+1,""))</f>
        <v/>
      </c>
    </row>
    <row r="156">
      <c r="A156" s="12" t="n"/>
      <c r="B156" s="13" t="n"/>
      <c r="C156" s="14" t="n"/>
      <c r="D156" s="15" t="n"/>
      <c r="E156" s="15" t="n"/>
      <c r="F156" s="15" t="n"/>
      <c r="G156" s="15" t="n"/>
      <c r="H156" s="16" t="n"/>
      <c r="I156" s="14" t="n"/>
      <c r="J156" s="17" t="n"/>
      <c r="K156" s="17">
        <f>IF(OR(H156="",J156=""),"",H156*J156)</f>
        <v/>
      </c>
      <c r="L156" s="12" t="n"/>
      <c r="M156" s="15" t="n"/>
      <c r="N156" s="15" t="n"/>
      <c r="O156" s="14" t="n"/>
      <c r="P156" s="14">
        <f>IF(OR(L156="",D156="",O156="납품완료",O156="취소"),"",IF(L156&lt;TODAY(),"지연",IF(L156-TODAY()&lt;=$L$1,"임박","")))</f>
        <v/>
      </c>
      <c r="Q156" s="14" t="n"/>
      <c r="R156" s="15" t="n"/>
      <c r="S156" s="18">
        <f>IF(F156="","",IF(COUNTIF(F$4:F156,F156)=1,MAX(S$3:S155)+1,""))</f>
        <v/>
      </c>
    </row>
    <row r="157">
      <c r="A157" s="12" t="n"/>
      <c r="B157" s="13" t="n"/>
      <c r="C157" s="14" t="n"/>
      <c r="D157" s="15" t="n"/>
      <c r="E157" s="15" t="n"/>
      <c r="F157" s="15" t="n"/>
      <c r="G157" s="15" t="n"/>
      <c r="H157" s="16" t="n"/>
      <c r="I157" s="14" t="n"/>
      <c r="J157" s="17" t="n"/>
      <c r="K157" s="17">
        <f>IF(OR(H157="",J157=""),"",H157*J157)</f>
        <v/>
      </c>
      <c r="L157" s="12" t="n"/>
      <c r="M157" s="15" t="n"/>
      <c r="N157" s="15" t="n"/>
      <c r="O157" s="14" t="n"/>
      <c r="P157" s="14">
        <f>IF(OR(L157="",D157="",O157="납품완료",O157="취소"),"",IF(L157&lt;TODAY(),"지연",IF(L157-TODAY()&lt;=$L$1,"임박","")))</f>
        <v/>
      </c>
      <c r="Q157" s="14" t="n"/>
      <c r="R157" s="15" t="n"/>
      <c r="S157" s="18">
        <f>IF(F157="","",IF(COUNTIF(F$4:F157,F157)=1,MAX(S$3:S156)+1,""))</f>
        <v/>
      </c>
    </row>
    <row r="158">
      <c r="A158" s="12" t="n"/>
      <c r="B158" s="13" t="n"/>
      <c r="C158" s="14" t="n"/>
      <c r="D158" s="15" t="n"/>
      <c r="E158" s="15" t="n"/>
      <c r="F158" s="15" t="n"/>
      <c r="G158" s="15" t="n"/>
      <c r="H158" s="16" t="n"/>
      <c r="I158" s="14" t="n"/>
      <c r="J158" s="17" t="n"/>
      <c r="K158" s="17">
        <f>IF(OR(H158="",J158=""),"",H158*J158)</f>
        <v/>
      </c>
      <c r="L158" s="12" t="n"/>
      <c r="M158" s="15" t="n"/>
      <c r="N158" s="15" t="n"/>
      <c r="O158" s="14" t="n"/>
      <c r="P158" s="14">
        <f>IF(OR(L158="",D158="",O158="납품완료",O158="취소"),"",IF(L158&lt;TODAY(),"지연",IF(L158-TODAY()&lt;=$L$1,"임박","")))</f>
        <v/>
      </c>
      <c r="Q158" s="14" t="n"/>
      <c r="R158" s="15" t="n"/>
      <c r="S158" s="18">
        <f>IF(F158="","",IF(COUNTIF(F$4:F158,F158)=1,MAX(S$3:S157)+1,""))</f>
        <v/>
      </c>
    </row>
    <row r="159">
      <c r="A159" s="12" t="n"/>
      <c r="B159" s="13" t="n"/>
      <c r="C159" s="14" t="n"/>
      <c r="D159" s="15" t="n"/>
      <c r="E159" s="15" t="n"/>
      <c r="F159" s="15" t="n"/>
      <c r="G159" s="15" t="n"/>
      <c r="H159" s="16" t="n"/>
      <c r="I159" s="14" t="n"/>
      <c r="J159" s="17" t="n"/>
      <c r="K159" s="17">
        <f>IF(OR(H159="",J159=""),"",H159*J159)</f>
        <v/>
      </c>
      <c r="L159" s="12" t="n"/>
      <c r="M159" s="15" t="n"/>
      <c r="N159" s="15" t="n"/>
      <c r="O159" s="14" t="n"/>
      <c r="P159" s="14">
        <f>IF(OR(L159="",D159="",O159="납품완료",O159="취소"),"",IF(L159&lt;TODAY(),"지연",IF(L159-TODAY()&lt;=$L$1,"임박","")))</f>
        <v/>
      </c>
      <c r="Q159" s="14" t="n"/>
      <c r="R159" s="15" t="n"/>
      <c r="S159" s="18">
        <f>IF(F159="","",IF(COUNTIF(F$4:F159,F159)=1,MAX(S$3:S158)+1,""))</f>
        <v/>
      </c>
    </row>
    <row r="160">
      <c r="A160" s="12" t="n"/>
      <c r="B160" s="13" t="n"/>
      <c r="C160" s="14" t="n"/>
      <c r="D160" s="15" t="n"/>
      <c r="E160" s="15" t="n"/>
      <c r="F160" s="15" t="n"/>
      <c r="G160" s="15" t="n"/>
      <c r="H160" s="16" t="n"/>
      <c r="I160" s="14" t="n"/>
      <c r="J160" s="17" t="n"/>
      <c r="K160" s="17">
        <f>IF(OR(H160="",J160=""),"",H160*J160)</f>
        <v/>
      </c>
      <c r="L160" s="12" t="n"/>
      <c r="M160" s="15" t="n"/>
      <c r="N160" s="15" t="n"/>
      <c r="O160" s="14" t="n"/>
      <c r="P160" s="14">
        <f>IF(OR(L160="",D160="",O160="납품완료",O160="취소"),"",IF(L160&lt;TODAY(),"지연",IF(L160-TODAY()&lt;=$L$1,"임박","")))</f>
        <v/>
      </c>
      <c r="Q160" s="14" t="n"/>
      <c r="R160" s="15" t="n"/>
      <c r="S160" s="18">
        <f>IF(F160="","",IF(COUNTIF(F$4:F160,F160)=1,MAX(S$3:S159)+1,""))</f>
        <v/>
      </c>
    </row>
    <row r="161">
      <c r="A161" s="12" t="n"/>
      <c r="B161" s="13" t="n"/>
      <c r="C161" s="14" t="n"/>
      <c r="D161" s="15" t="n"/>
      <c r="E161" s="15" t="n"/>
      <c r="F161" s="15" t="n"/>
      <c r="G161" s="15" t="n"/>
      <c r="H161" s="16" t="n"/>
      <c r="I161" s="14" t="n"/>
      <c r="J161" s="17" t="n"/>
      <c r="K161" s="17">
        <f>IF(OR(H161="",J161=""),"",H161*J161)</f>
        <v/>
      </c>
      <c r="L161" s="12" t="n"/>
      <c r="M161" s="15" t="n"/>
      <c r="N161" s="15" t="n"/>
      <c r="O161" s="14" t="n"/>
      <c r="P161" s="14">
        <f>IF(OR(L161="",D161="",O161="납품완료",O161="취소"),"",IF(L161&lt;TODAY(),"지연",IF(L161-TODAY()&lt;=$L$1,"임박","")))</f>
        <v/>
      </c>
      <c r="Q161" s="14" t="n"/>
      <c r="R161" s="15" t="n"/>
      <c r="S161" s="18">
        <f>IF(F161="","",IF(COUNTIF(F$4:F161,F161)=1,MAX(S$3:S160)+1,""))</f>
        <v/>
      </c>
    </row>
    <row r="162">
      <c r="A162" s="12" t="n"/>
      <c r="B162" s="13" t="n"/>
      <c r="C162" s="14" t="n"/>
      <c r="D162" s="15" t="n"/>
      <c r="E162" s="15" t="n"/>
      <c r="F162" s="15" t="n"/>
      <c r="G162" s="15" t="n"/>
      <c r="H162" s="16" t="n"/>
      <c r="I162" s="14" t="n"/>
      <c r="J162" s="17" t="n"/>
      <c r="K162" s="17">
        <f>IF(OR(H162="",J162=""),"",H162*J162)</f>
        <v/>
      </c>
      <c r="L162" s="12" t="n"/>
      <c r="M162" s="15" t="n"/>
      <c r="N162" s="15" t="n"/>
      <c r="O162" s="14" t="n"/>
      <c r="P162" s="14">
        <f>IF(OR(L162="",D162="",O162="납품완료",O162="취소"),"",IF(L162&lt;TODAY(),"지연",IF(L162-TODAY()&lt;=$L$1,"임박","")))</f>
        <v/>
      </c>
      <c r="Q162" s="14" t="n"/>
      <c r="R162" s="15" t="n"/>
      <c r="S162" s="18">
        <f>IF(F162="","",IF(COUNTIF(F$4:F162,F162)=1,MAX(S$3:S161)+1,""))</f>
        <v/>
      </c>
    </row>
    <row r="163">
      <c r="A163" s="12" t="n"/>
      <c r="B163" s="13" t="n"/>
      <c r="C163" s="14" t="n"/>
      <c r="D163" s="15" t="n"/>
      <c r="E163" s="15" t="n"/>
      <c r="F163" s="15" t="n"/>
      <c r="G163" s="15" t="n"/>
      <c r="H163" s="16" t="n"/>
      <c r="I163" s="14" t="n"/>
      <c r="J163" s="17" t="n"/>
      <c r="K163" s="17">
        <f>IF(OR(H163="",J163=""),"",H163*J163)</f>
        <v/>
      </c>
      <c r="L163" s="12" t="n"/>
      <c r="M163" s="15" t="n"/>
      <c r="N163" s="15" t="n"/>
      <c r="O163" s="14" t="n"/>
      <c r="P163" s="14">
        <f>IF(OR(L163="",D163="",O163="납품완료",O163="취소"),"",IF(L163&lt;TODAY(),"지연",IF(L163-TODAY()&lt;=$L$1,"임박","")))</f>
        <v/>
      </c>
      <c r="Q163" s="14" t="n"/>
      <c r="R163" s="15" t="n"/>
      <c r="S163" s="18">
        <f>IF(F163="","",IF(COUNTIF(F$4:F163,F163)=1,MAX(S$3:S162)+1,""))</f>
        <v/>
      </c>
    </row>
    <row r="164">
      <c r="A164" s="12" t="n"/>
      <c r="B164" s="13" t="n"/>
      <c r="C164" s="14" t="n"/>
      <c r="D164" s="15" t="n"/>
      <c r="E164" s="15" t="n"/>
      <c r="F164" s="15" t="n"/>
      <c r="G164" s="15" t="n"/>
      <c r="H164" s="16" t="n"/>
      <c r="I164" s="14" t="n"/>
      <c r="J164" s="17" t="n"/>
      <c r="K164" s="17">
        <f>IF(OR(H164="",J164=""),"",H164*J164)</f>
        <v/>
      </c>
      <c r="L164" s="12" t="n"/>
      <c r="M164" s="15" t="n"/>
      <c r="N164" s="15" t="n"/>
      <c r="O164" s="14" t="n"/>
      <c r="P164" s="14">
        <f>IF(OR(L164="",D164="",O164="납품완료",O164="취소"),"",IF(L164&lt;TODAY(),"지연",IF(L164-TODAY()&lt;=$L$1,"임박","")))</f>
        <v/>
      </c>
      <c r="Q164" s="14" t="n"/>
      <c r="R164" s="15" t="n"/>
      <c r="S164" s="18">
        <f>IF(F164="","",IF(COUNTIF(F$4:F164,F164)=1,MAX(S$3:S163)+1,""))</f>
        <v/>
      </c>
    </row>
    <row r="165">
      <c r="A165" s="12" t="n"/>
      <c r="B165" s="13" t="n"/>
      <c r="C165" s="14" t="n"/>
      <c r="D165" s="15" t="n"/>
      <c r="E165" s="15" t="n"/>
      <c r="F165" s="15" t="n"/>
      <c r="G165" s="15" t="n"/>
      <c r="H165" s="16" t="n"/>
      <c r="I165" s="14" t="n"/>
      <c r="J165" s="17" t="n"/>
      <c r="K165" s="17">
        <f>IF(OR(H165="",J165=""),"",H165*J165)</f>
        <v/>
      </c>
      <c r="L165" s="12" t="n"/>
      <c r="M165" s="15" t="n"/>
      <c r="N165" s="15" t="n"/>
      <c r="O165" s="14" t="n"/>
      <c r="P165" s="14">
        <f>IF(OR(L165="",D165="",O165="납품완료",O165="취소"),"",IF(L165&lt;TODAY(),"지연",IF(L165-TODAY()&lt;=$L$1,"임박","")))</f>
        <v/>
      </c>
      <c r="Q165" s="14" t="n"/>
      <c r="R165" s="15" t="n"/>
      <c r="S165" s="18">
        <f>IF(F165="","",IF(COUNTIF(F$4:F165,F165)=1,MAX(S$3:S164)+1,""))</f>
        <v/>
      </c>
    </row>
    <row r="166">
      <c r="A166" s="12" t="n"/>
      <c r="B166" s="13" t="n"/>
      <c r="C166" s="14" t="n"/>
      <c r="D166" s="15" t="n"/>
      <c r="E166" s="15" t="n"/>
      <c r="F166" s="15" t="n"/>
      <c r="G166" s="15" t="n"/>
      <c r="H166" s="16" t="n"/>
      <c r="I166" s="14" t="n"/>
      <c r="J166" s="17" t="n"/>
      <c r="K166" s="17">
        <f>IF(OR(H166="",J166=""),"",H166*J166)</f>
        <v/>
      </c>
      <c r="L166" s="12" t="n"/>
      <c r="M166" s="15" t="n"/>
      <c r="N166" s="15" t="n"/>
      <c r="O166" s="14" t="n"/>
      <c r="P166" s="14">
        <f>IF(OR(L166="",D166="",O166="납품완료",O166="취소"),"",IF(L166&lt;TODAY(),"지연",IF(L166-TODAY()&lt;=$L$1,"임박","")))</f>
        <v/>
      </c>
      <c r="Q166" s="14" t="n"/>
      <c r="R166" s="15" t="n"/>
      <c r="S166" s="18">
        <f>IF(F166="","",IF(COUNTIF(F$4:F166,F166)=1,MAX(S$3:S165)+1,""))</f>
        <v/>
      </c>
    </row>
    <row r="167">
      <c r="A167" s="12" t="n"/>
      <c r="B167" s="13" t="n"/>
      <c r="C167" s="14" t="n"/>
      <c r="D167" s="15" t="n"/>
      <c r="E167" s="15" t="n"/>
      <c r="F167" s="15" t="n"/>
      <c r="G167" s="15" t="n"/>
      <c r="H167" s="16" t="n"/>
      <c r="I167" s="14" t="n"/>
      <c r="J167" s="17" t="n"/>
      <c r="K167" s="17">
        <f>IF(OR(H167="",J167=""),"",H167*J167)</f>
        <v/>
      </c>
      <c r="L167" s="12" t="n"/>
      <c r="M167" s="15" t="n"/>
      <c r="N167" s="15" t="n"/>
      <c r="O167" s="14" t="n"/>
      <c r="P167" s="14">
        <f>IF(OR(L167="",D167="",O167="납품완료",O167="취소"),"",IF(L167&lt;TODAY(),"지연",IF(L167-TODAY()&lt;=$L$1,"임박","")))</f>
        <v/>
      </c>
      <c r="Q167" s="14" t="n"/>
      <c r="R167" s="15" t="n"/>
      <c r="S167" s="18">
        <f>IF(F167="","",IF(COUNTIF(F$4:F167,F167)=1,MAX(S$3:S166)+1,""))</f>
        <v/>
      </c>
    </row>
    <row r="168">
      <c r="A168" s="12" t="n"/>
      <c r="B168" s="13" t="n"/>
      <c r="C168" s="14" t="n"/>
      <c r="D168" s="15" t="n"/>
      <c r="E168" s="15" t="n"/>
      <c r="F168" s="15" t="n"/>
      <c r="G168" s="15" t="n"/>
      <c r="H168" s="16" t="n"/>
      <c r="I168" s="14" t="n"/>
      <c r="J168" s="17" t="n"/>
      <c r="K168" s="17">
        <f>IF(OR(H168="",J168=""),"",H168*J168)</f>
        <v/>
      </c>
      <c r="L168" s="12" t="n"/>
      <c r="M168" s="15" t="n"/>
      <c r="N168" s="15" t="n"/>
      <c r="O168" s="14" t="n"/>
      <c r="P168" s="14">
        <f>IF(OR(L168="",D168="",O168="납품완료",O168="취소"),"",IF(L168&lt;TODAY(),"지연",IF(L168-TODAY()&lt;=$L$1,"임박","")))</f>
        <v/>
      </c>
      <c r="Q168" s="14" t="n"/>
      <c r="R168" s="15" t="n"/>
      <c r="S168" s="18">
        <f>IF(F168="","",IF(COUNTIF(F$4:F168,F168)=1,MAX(S$3:S167)+1,""))</f>
        <v/>
      </c>
    </row>
    <row r="169">
      <c r="A169" s="12" t="n"/>
      <c r="B169" s="13" t="n"/>
      <c r="C169" s="14" t="n"/>
      <c r="D169" s="15" t="n"/>
      <c r="E169" s="15" t="n"/>
      <c r="F169" s="15" t="n"/>
      <c r="G169" s="15" t="n"/>
      <c r="H169" s="16" t="n"/>
      <c r="I169" s="14" t="n"/>
      <c r="J169" s="17" t="n"/>
      <c r="K169" s="17">
        <f>IF(OR(H169="",J169=""),"",H169*J169)</f>
        <v/>
      </c>
      <c r="L169" s="12" t="n"/>
      <c r="M169" s="15" t="n"/>
      <c r="N169" s="15" t="n"/>
      <c r="O169" s="14" t="n"/>
      <c r="P169" s="14">
        <f>IF(OR(L169="",D169="",O169="납품완료",O169="취소"),"",IF(L169&lt;TODAY(),"지연",IF(L169-TODAY()&lt;=$L$1,"임박","")))</f>
        <v/>
      </c>
      <c r="Q169" s="14" t="n"/>
      <c r="R169" s="15" t="n"/>
      <c r="S169" s="18">
        <f>IF(F169="","",IF(COUNTIF(F$4:F169,F169)=1,MAX(S$3:S168)+1,""))</f>
        <v/>
      </c>
    </row>
    <row r="170">
      <c r="A170" s="12" t="n"/>
      <c r="B170" s="13" t="n"/>
      <c r="C170" s="14" t="n"/>
      <c r="D170" s="15" t="n"/>
      <c r="E170" s="15" t="n"/>
      <c r="F170" s="15" t="n"/>
      <c r="G170" s="15" t="n"/>
      <c r="H170" s="16" t="n"/>
      <c r="I170" s="14" t="n"/>
      <c r="J170" s="17" t="n"/>
      <c r="K170" s="17">
        <f>IF(OR(H170="",J170=""),"",H170*J170)</f>
        <v/>
      </c>
      <c r="L170" s="12" t="n"/>
      <c r="M170" s="15" t="n"/>
      <c r="N170" s="15" t="n"/>
      <c r="O170" s="14" t="n"/>
      <c r="P170" s="14">
        <f>IF(OR(L170="",D170="",O170="납품완료",O170="취소"),"",IF(L170&lt;TODAY(),"지연",IF(L170-TODAY()&lt;=$L$1,"임박","")))</f>
        <v/>
      </c>
      <c r="Q170" s="14" t="n"/>
      <c r="R170" s="15" t="n"/>
      <c r="S170" s="18">
        <f>IF(F170="","",IF(COUNTIF(F$4:F170,F170)=1,MAX(S$3:S169)+1,""))</f>
        <v/>
      </c>
    </row>
    <row r="171">
      <c r="A171" s="12" t="n"/>
      <c r="B171" s="13" t="n"/>
      <c r="C171" s="14" t="n"/>
      <c r="D171" s="15" t="n"/>
      <c r="E171" s="15" t="n"/>
      <c r="F171" s="15" t="n"/>
      <c r="G171" s="15" t="n"/>
      <c r="H171" s="16" t="n"/>
      <c r="I171" s="14" t="n"/>
      <c r="J171" s="17" t="n"/>
      <c r="K171" s="17">
        <f>IF(OR(H171="",J171=""),"",H171*J171)</f>
        <v/>
      </c>
      <c r="L171" s="12" t="n"/>
      <c r="M171" s="15" t="n"/>
      <c r="N171" s="15" t="n"/>
      <c r="O171" s="14" t="n"/>
      <c r="P171" s="14">
        <f>IF(OR(L171="",D171="",O171="납품완료",O171="취소"),"",IF(L171&lt;TODAY(),"지연",IF(L171-TODAY()&lt;=$L$1,"임박","")))</f>
        <v/>
      </c>
      <c r="Q171" s="14" t="n"/>
      <c r="R171" s="15" t="n"/>
      <c r="S171" s="18">
        <f>IF(F171="","",IF(COUNTIF(F$4:F171,F171)=1,MAX(S$3:S170)+1,""))</f>
        <v/>
      </c>
    </row>
    <row r="172">
      <c r="A172" s="12" t="n"/>
      <c r="B172" s="13" t="n"/>
      <c r="C172" s="14" t="n"/>
      <c r="D172" s="15" t="n"/>
      <c r="E172" s="15" t="n"/>
      <c r="F172" s="15" t="n"/>
      <c r="G172" s="15" t="n"/>
      <c r="H172" s="16" t="n"/>
      <c r="I172" s="14" t="n"/>
      <c r="J172" s="17" t="n"/>
      <c r="K172" s="17">
        <f>IF(OR(H172="",J172=""),"",H172*J172)</f>
        <v/>
      </c>
      <c r="L172" s="12" t="n"/>
      <c r="M172" s="15" t="n"/>
      <c r="N172" s="15" t="n"/>
      <c r="O172" s="14" t="n"/>
      <c r="P172" s="14">
        <f>IF(OR(L172="",D172="",O172="납품완료",O172="취소"),"",IF(L172&lt;TODAY(),"지연",IF(L172-TODAY()&lt;=$L$1,"임박","")))</f>
        <v/>
      </c>
      <c r="Q172" s="14" t="n"/>
      <c r="R172" s="15" t="n"/>
      <c r="S172" s="18">
        <f>IF(F172="","",IF(COUNTIF(F$4:F172,F172)=1,MAX(S$3:S171)+1,""))</f>
        <v/>
      </c>
    </row>
    <row r="173">
      <c r="A173" s="12" t="n"/>
      <c r="B173" s="13" t="n"/>
      <c r="C173" s="14" t="n"/>
      <c r="D173" s="15" t="n"/>
      <c r="E173" s="15" t="n"/>
      <c r="F173" s="15" t="n"/>
      <c r="G173" s="15" t="n"/>
      <c r="H173" s="16" t="n"/>
      <c r="I173" s="14" t="n"/>
      <c r="J173" s="17" t="n"/>
      <c r="K173" s="17">
        <f>IF(OR(H173="",J173=""),"",H173*J173)</f>
        <v/>
      </c>
      <c r="L173" s="12" t="n"/>
      <c r="M173" s="15" t="n"/>
      <c r="N173" s="15" t="n"/>
      <c r="O173" s="14" t="n"/>
      <c r="P173" s="14">
        <f>IF(OR(L173="",D173="",O173="납품완료",O173="취소"),"",IF(L173&lt;TODAY(),"지연",IF(L173-TODAY()&lt;=$L$1,"임박","")))</f>
        <v/>
      </c>
      <c r="Q173" s="14" t="n"/>
      <c r="R173" s="15" t="n"/>
      <c r="S173" s="18">
        <f>IF(F173="","",IF(COUNTIF(F$4:F173,F173)=1,MAX(S$3:S172)+1,""))</f>
        <v/>
      </c>
    </row>
    <row r="174">
      <c r="A174" s="12" t="n"/>
      <c r="B174" s="13" t="n"/>
      <c r="C174" s="14" t="n"/>
      <c r="D174" s="15" t="n"/>
      <c r="E174" s="15" t="n"/>
      <c r="F174" s="15" t="n"/>
      <c r="G174" s="15" t="n"/>
      <c r="H174" s="16" t="n"/>
      <c r="I174" s="14" t="n"/>
      <c r="J174" s="17" t="n"/>
      <c r="K174" s="17">
        <f>IF(OR(H174="",J174=""),"",H174*J174)</f>
        <v/>
      </c>
      <c r="L174" s="12" t="n"/>
      <c r="M174" s="15" t="n"/>
      <c r="N174" s="15" t="n"/>
      <c r="O174" s="14" t="n"/>
      <c r="P174" s="14">
        <f>IF(OR(L174="",D174="",O174="납품완료",O174="취소"),"",IF(L174&lt;TODAY(),"지연",IF(L174-TODAY()&lt;=$L$1,"임박","")))</f>
        <v/>
      </c>
      <c r="Q174" s="14" t="n"/>
      <c r="R174" s="15" t="n"/>
      <c r="S174" s="18">
        <f>IF(F174="","",IF(COUNTIF(F$4:F174,F174)=1,MAX(S$3:S173)+1,""))</f>
        <v/>
      </c>
    </row>
    <row r="175">
      <c r="A175" s="12" t="n"/>
      <c r="B175" s="13" t="n"/>
      <c r="C175" s="14" t="n"/>
      <c r="D175" s="15" t="n"/>
      <c r="E175" s="15" t="n"/>
      <c r="F175" s="15" t="n"/>
      <c r="G175" s="15" t="n"/>
      <c r="H175" s="16" t="n"/>
      <c r="I175" s="14" t="n"/>
      <c r="J175" s="17" t="n"/>
      <c r="K175" s="17">
        <f>IF(OR(H175="",J175=""),"",H175*J175)</f>
        <v/>
      </c>
      <c r="L175" s="12" t="n"/>
      <c r="M175" s="15" t="n"/>
      <c r="N175" s="15" t="n"/>
      <c r="O175" s="14" t="n"/>
      <c r="P175" s="14">
        <f>IF(OR(L175="",D175="",O175="납품완료",O175="취소"),"",IF(L175&lt;TODAY(),"지연",IF(L175-TODAY()&lt;=$L$1,"임박","")))</f>
        <v/>
      </c>
      <c r="Q175" s="14" t="n"/>
      <c r="R175" s="15" t="n"/>
      <c r="S175" s="18">
        <f>IF(F175="","",IF(COUNTIF(F$4:F175,F175)=1,MAX(S$3:S174)+1,""))</f>
        <v/>
      </c>
    </row>
    <row r="176">
      <c r="A176" s="12" t="n"/>
      <c r="B176" s="13" t="n"/>
      <c r="C176" s="14" t="n"/>
      <c r="D176" s="15" t="n"/>
      <c r="E176" s="15" t="n"/>
      <c r="F176" s="15" t="n"/>
      <c r="G176" s="15" t="n"/>
      <c r="H176" s="16" t="n"/>
      <c r="I176" s="14" t="n"/>
      <c r="J176" s="17" t="n"/>
      <c r="K176" s="17">
        <f>IF(OR(H176="",J176=""),"",H176*J176)</f>
        <v/>
      </c>
      <c r="L176" s="12" t="n"/>
      <c r="M176" s="15" t="n"/>
      <c r="N176" s="15" t="n"/>
      <c r="O176" s="14" t="n"/>
      <c r="P176" s="14">
        <f>IF(OR(L176="",D176="",O176="납품완료",O176="취소"),"",IF(L176&lt;TODAY(),"지연",IF(L176-TODAY()&lt;=$L$1,"임박","")))</f>
        <v/>
      </c>
      <c r="Q176" s="14" t="n"/>
      <c r="R176" s="15" t="n"/>
      <c r="S176" s="18">
        <f>IF(F176="","",IF(COUNTIF(F$4:F176,F176)=1,MAX(S$3:S175)+1,""))</f>
        <v/>
      </c>
    </row>
    <row r="177">
      <c r="A177" s="12" t="n"/>
      <c r="B177" s="13" t="n"/>
      <c r="C177" s="14" t="n"/>
      <c r="D177" s="15" t="n"/>
      <c r="E177" s="15" t="n"/>
      <c r="F177" s="15" t="n"/>
      <c r="G177" s="15" t="n"/>
      <c r="H177" s="16" t="n"/>
      <c r="I177" s="14" t="n"/>
      <c r="J177" s="17" t="n"/>
      <c r="K177" s="17">
        <f>IF(OR(H177="",J177=""),"",H177*J177)</f>
        <v/>
      </c>
      <c r="L177" s="12" t="n"/>
      <c r="M177" s="15" t="n"/>
      <c r="N177" s="15" t="n"/>
      <c r="O177" s="14" t="n"/>
      <c r="P177" s="14">
        <f>IF(OR(L177="",D177="",O177="납품완료",O177="취소"),"",IF(L177&lt;TODAY(),"지연",IF(L177-TODAY()&lt;=$L$1,"임박","")))</f>
        <v/>
      </c>
      <c r="Q177" s="14" t="n"/>
      <c r="R177" s="15" t="n"/>
      <c r="S177" s="18">
        <f>IF(F177="","",IF(COUNTIF(F$4:F177,F177)=1,MAX(S$3:S176)+1,""))</f>
        <v/>
      </c>
    </row>
    <row r="178">
      <c r="A178" s="12" t="n"/>
      <c r="B178" s="13" t="n"/>
      <c r="C178" s="14" t="n"/>
      <c r="D178" s="15" t="n"/>
      <c r="E178" s="15" t="n"/>
      <c r="F178" s="15" t="n"/>
      <c r="G178" s="15" t="n"/>
      <c r="H178" s="16" t="n"/>
      <c r="I178" s="14" t="n"/>
      <c r="J178" s="17" t="n"/>
      <c r="K178" s="17">
        <f>IF(OR(H178="",J178=""),"",H178*J178)</f>
        <v/>
      </c>
      <c r="L178" s="12" t="n"/>
      <c r="M178" s="15" t="n"/>
      <c r="N178" s="15" t="n"/>
      <c r="O178" s="14" t="n"/>
      <c r="P178" s="14">
        <f>IF(OR(L178="",D178="",O178="납품완료",O178="취소"),"",IF(L178&lt;TODAY(),"지연",IF(L178-TODAY()&lt;=$L$1,"임박","")))</f>
        <v/>
      </c>
      <c r="Q178" s="14" t="n"/>
      <c r="R178" s="15" t="n"/>
      <c r="S178" s="18">
        <f>IF(F178="","",IF(COUNTIF(F$4:F178,F178)=1,MAX(S$3:S177)+1,""))</f>
        <v/>
      </c>
    </row>
    <row r="179">
      <c r="A179" s="12" t="n"/>
      <c r="B179" s="13" t="n"/>
      <c r="C179" s="14" t="n"/>
      <c r="D179" s="15" t="n"/>
      <c r="E179" s="15" t="n"/>
      <c r="F179" s="15" t="n"/>
      <c r="G179" s="15" t="n"/>
      <c r="H179" s="16" t="n"/>
      <c r="I179" s="14" t="n"/>
      <c r="J179" s="17" t="n"/>
      <c r="K179" s="17">
        <f>IF(OR(H179="",J179=""),"",H179*J179)</f>
        <v/>
      </c>
      <c r="L179" s="12" t="n"/>
      <c r="M179" s="15" t="n"/>
      <c r="N179" s="15" t="n"/>
      <c r="O179" s="14" t="n"/>
      <c r="P179" s="14">
        <f>IF(OR(L179="",D179="",O179="납품완료",O179="취소"),"",IF(L179&lt;TODAY(),"지연",IF(L179-TODAY()&lt;=$L$1,"임박","")))</f>
        <v/>
      </c>
      <c r="Q179" s="14" t="n"/>
      <c r="R179" s="15" t="n"/>
      <c r="S179" s="18">
        <f>IF(F179="","",IF(COUNTIF(F$4:F179,F179)=1,MAX(S$3:S178)+1,""))</f>
        <v/>
      </c>
    </row>
    <row r="180">
      <c r="A180" s="12" t="n"/>
      <c r="B180" s="13" t="n"/>
      <c r="C180" s="14" t="n"/>
      <c r="D180" s="15" t="n"/>
      <c r="E180" s="15" t="n"/>
      <c r="F180" s="15" t="n"/>
      <c r="G180" s="15" t="n"/>
      <c r="H180" s="16" t="n"/>
      <c r="I180" s="14" t="n"/>
      <c r="J180" s="17" t="n"/>
      <c r="K180" s="17">
        <f>IF(OR(H180="",J180=""),"",H180*J180)</f>
        <v/>
      </c>
      <c r="L180" s="12" t="n"/>
      <c r="M180" s="15" t="n"/>
      <c r="N180" s="15" t="n"/>
      <c r="O180" s="14" t="n"/>
      <c r="P180" s="14">
        <f>IF(OR(L180="",D180="",O180="납품완료",O180="취소"),"",IF(L180&lt;TODAY(),"지연",IF(L180-TODAY()&lt;=$L$1,"임박","")))</f>
        <v/>
      </c>
      <c r="Q180" s="14" t="n"/>
      <c r="R180" s="15" t="n"/>
      <c r="S180" s="18">
        <f>IF(F180="","",IF(COUNTIF(F$4:F180,F180)=1,MAX(S$3:S179)+1,""))</f>
        <v/>
      </c>
    </row>
    <row r="181">
      <c r="A181" s="12" t="n"/>
      <c r="B181" s="13" t="n"/>
      <c r="C181" s="14" t="n"/>
      <c r="D181" s="15" t="n"/>
      <c r="E181" s="15" t="n"/>
      <c r="F181" s="15" t="n"/>
      <c r="G181" s="15" t="n"/>
      <c r="H181" s="16" t="n"/>
      <c r="I181" s="14" t="n"/>
      <c r="J181" s="17" t="n"/>
      <c r="K181" s="17">
        <f>IF(OR(H181="",J181=""),"",H181*J181)</f>
        <v/>
      </c>
      <c r="L181" s="12" t="n"/>
      <c r="M181" s="15" t="n"/>
      <c r="N181" s="15" t="n"/>
      <c r="O181" s="14" t="n"/>
      <c r="P181" s="14">
        <f>IF(OR(L181="",D181="",O181="납품완료",O181="취소"),"",IF(L181&lt;TODAY(),"지연",IF(L181-TODAY()&lt;=$L$1,"임박","")))</f>
        <v/>
      </c>
      <c r="Q181" s="14" t="n"/>
      <c r="R181" s="15" t="n"/>
      <c r="S181" s="18">
        <f>IF(F181="","",IF(COUNTIF(F$4:F181,F181)=1,MAX(S$3:S180)+1,""))</f>
        <v/>
      </c>
    </row>
    <row r="182">
      <c r="A182" s="12" t="n"/>
      <c r="B182" s="13" t="n"/>
      <c r="C182" s="14" t="n"/>
      <c r="D182" s="15" t="n"/>
      <c r="E182" s="15" t="n"/>
      <c r="F182" s="15" t="n"/>
      <c r="G182" s="15" t="n"/>
      <c r="H182" s="16" t="n"/>
      <c r="I182" s="14" t="n"/>
      <c r="J182" s="17" t="n"/>
      <c r="K182" s="17">
        <f>IF(OR(H182="",J182=""),"",H182*J182)</f>
        <v/>
      </c>
      <c r="L182" s="12" t="n"/>
      <c r="M182" s="15" t="n"/>
      <c r="N182" s="15" t="n"/>
      <c r="O182" s="14" t="n"/>
      <c r="P182" s="14">
        <f>IF(OR(L182="",D182="",O182="납품완료",O182="취소"),"",IF(L182&lt;TODAY(),"지연",IF(L182-TODAY()&lt;=$L$1,"임박","")))</f>
        <v/>
      </c>
      <c r="Q182" s="14" t="n"/>
      <c r="R182" s="15" t="n"/>
      <c r="S182" s="18">
        <f>IF(F182="","",IF(COUNTIF(F$4:F182,F182)=1,MAX(S$3:S181)+1,""))</f>
        <v/>
      </c>
    </row>
    <row r="183">
      <c r="A183" s="12" t="n"/>
      <c r="B183" s="13" t="n"/>
      <c r="C183" s="14" t="n"/>
      <c r="D183" s="15" t="n"/>
      <c r="E183" s="15" t="n"/>
      <c r="F183" s="15" t="n"/>
      <c r="G183" s="15" t="n"/>
      <c r="H183" s="16" t="n"/>
      <c r="I183" s="14" t="n"/>
      <c r="J183" s="17" t="n"/>
      <c r="K183" s="17">
        <f>IF(OR(H183="",J183=""),"",H183*J183)</f>
        <v/>
      </c>
      <c r="L183" s="12" t="n"/>
      <c r="M183" s="15" t="n"/>
      <c r="N183" s="15" t="n"/>
      <c r="O183" s="14" t="n"/>
      <c r="P183" s="14">
        <f>IF(OR(L183="",D183="",O183="납품완료",O183="취소"),"",IF(L183&lt;TODAY(),"지연",IF(L183-TODAY()&lt;=$L$1,"임박","")))</f>
        <v/>
      </c>
      <c r="Q183" s="14" t="n"/>
      <c r="R183" s="15" t="n"/>
      <c r="S183" s="18">
        <f>IF(F183="","",IF(COUNTIF(F$4:F183,F183)=1,MAX(S$3:S182)+1,""))</f>
        <v/>
      </c>
    </row>
    <row r="184">
      <c r="A184" s="12" t="n"/>
      <c r="B184" s="13" t="n"/>
      <c r="C184" s="14" t="n"/>
      <c r="D184" s="15" t="n"/>
      <c r="E184" s="15" t="n"/>
      <c r="F184" s="15" t="n"/>
      <c r="G184" s="15" t="n"/>
      <c r="H184" s="16" t="n"/>
      <c r="I184" s="14" t="n"/>
      <c r="J184" s="17" t="n"/>
      <c r="K184" s="17">
        <f>IF(OR(H184="",J184=""),"",H184*J184)</f>
        <v/>
      </c>
      <c r="L184" s="12" t="n"/>
      <c r="M184" s="15" t="n"/>
      <c r="N184" s="15" t="n"/>
      <c r="O184" s="14" t="n"/>
      <c r="P184" s="14">
        <f>IF(OR(L184="",D184="",O184="납품완료",O184="취소"),"",IF(L184&lt;TODAY(),"지연",IF(L184-TODAY()&lt;=$L$1,"임박","")))</f>
        <v/>
      </c>
      <c r="Q184" s="14" t="n"/>
      <c r="R184" s="15" t="n"/>
      <c r="S184" s="18">
        <f>IF(F184="","",IF(COUNTIF(F$4:F184,F184)=1,MAX(S$3:S183)+1,""))</f>
        <v/>
      </c>
    </row>
    <row r="185">
      <c r="A185" s="12" t="n"/>
      <c r="B185" s="13" t="n"/>
      <c r="C185" s="14" t="n"/>
      <c r="D185" s="15" t="n"/>
      <c r="E185" s="15" t="n"/>
      <c r="F185" s="15" t="n"/>
      <c r="G185" s="15" t="n"/>
      <c r="H185" s="16" t="n"/>
      <c r="I185" s="14" t="n"/>
      <c r="J185" s="17" t="n"/>
      <c r="K185" s="17">
        <f>IF(OR(H185="",J185=""),"",H185*J185)</f>
        <v/>
      </c>
      <c r="L185" s="12" t="n"/>
      <c r="M185" s="15" t="n"/>
      <c r="N185" s="15" t="n"/>
      <c r="O185" s="14" t="n"/>
      <c r="P185" s="14">
        <f>IF(OR(L185="",D185="",O185="납품완료",O185="취소"),"",IF(L185&lt;TODAY(),"지연",IF(L185-TODAY()&lt;=$L$1,"임박","")))</f>
        <v/>
      </c>
      <c r="Q185" s="14" t="n"/>
      <c r="R185" s="15" t="n"/>
      <c r="S185" s="18">
        <f>IF(F185="","",IF(COUNTIF(F$4:F185,F185)=1,MAX(S$3:S184)+1,""))</f>
        <v/>
      </c>
    </row>
    <row r="186">
      <c r="A186" s="12" t="n"/>
      <c r="B186" s="13" t="n"/>
      <c r="C186" s="14" t="n"/>
      <c r="D186" s="15" t="n"/>
      <c r="E186" s="15" t="n"/>
      <c r="F186" s="15" t="n"/>
      <c r="G186" s="15" t="n"/>
      <c r="H186" s="16" t="n"/>
      <c r="I186" s="14" t="n"/>
      <c r="J186" s="17" t="n"/>
      <c r="K186" s="17">
        <f>IF(OR(H186="",J186=""),"",H186*J186)</f>
        <v/>
      </c>
      <c r="L186" s="12" t="n"/>
      <c r="M186" s="15" t="n"/>
      <c r="N186" s="15" t="n"/>
      <c r="O186" s="14" t="n"/>
      <c r="P186" s="14">
        <f>IF(OR(L186="",D186="",O186="납품완료",O186="취소"),"",IF(L186&lt;TODAY(),"지연",IF(L186-TODAY()&lt;=$L$1,"임박","")))</f>
        <v/>
      </c>
      <c r="Q186" s="14" t="n"/>
      <c r="R186" s="15" t="n"/>
      <c r="S186" s="18">
        <f>IF(F186="","",IF(COUNTIF(F$4:F186,F186)=1,MAX(S$3:S185)+1,""))</f>
        <v/>
      </c>
    </row>
    <row r="187">
      <c r="A187" s="12" t="n"/>
      <c r="B187" s="13" t="n"/>
      <c r="C187" s="14" t="n"/>
      <c r="D187" s="15" t="n"/>
      <c r="E187" s="15" t="n"/>
      <c r="F187" s="15" t="n"/>
      <c r="G187" s="15" t="n"/>
      <c r="H187" s="16" t="n"/>
      <c r="I187" s="14" t="n"/>
      <c r="J187" s="17" t="n"/>
      <c r="K187" s="17">
        <f>IF(OR(H187="",J187=""),"",H187*J187)</f>
        <v/>
      </c>
      <c r="L187" s="12" t="n"/>
      <c r="M187" s="15" t="n"/>
      <c r="N187" s="15" t="n"/>
      <c r="O187" s="14" t="n"/>
      <c r="P187" s="14">
        <f>IF(OR(L187="",D187="",O187="납품완료",O187="취소"),"",IF(L187&lt;TODAY(),"지연",IF(L187-TODAY()&lt;=$L$1,"임박","")))</f>
        <v/>
      </c>
      <c r="Q187" s="14" t="n"/>
      <c r="R187" s="15" t="n"/>
      <c r="S187" s="18">
        <f>IF(F187="","",IF(COUNTIF(F$4:F187,F187)=1,MAX(S$3:S186)+1,""))</f>
        <v/>
      </c>
    </row>
    <row r="188">
      <c r="A188" s="12" t="n"/>
      <c r="B188" s="13" t="n"/>
      <c r="C188" s="14" t="n"/>
      <c r="D188" s="15" t="n"/>
      <c r="E188" s="15" t="n"/>
      <c r="F188" s="15" t="n"/>
      <c r="G188" s="15" t="n"/>
      <c r="H188" s="16" t="n"/>
      <c r="I188" s="14" t="n"/>
      <c r="J188" s="17" t="n"/>
      <c r="K188" s="17">
        <f>IF(OR(H188="",J188=""),"",H188*J188)</f>
        <v/>
      </c>
      <c r="L188" s="12" t="n"/>
      <c r="M188" s="15" t="n"/>
      <c r="N188" s="15" t="n"/>
      <c r="O188" s="14" t="n"/>
      <c r="P188" s="14">
        <f>IF(OR(L188="",D188="",O188="납품완료",O188="취소"),"",IF(L188&lt;TODAY(),"지연",IF(L188-TODAY()&lt;=$L$1,"임박","")))</f>
        <v/>
      </c>
      <c r="Q188" s="14" t="n"/>
      <c r="R188" s="15" t="n"/>
      <c r="S188" s="18">
        <f>IF(F188="","",IF(COUNTIF(F$4:F188,F188)=1,MAX(S$3:S187)+1,""))</f>
        <v/>
      </c>
    </row>
    <row r="189">
      <c r="A189" s="12" t="n"/>
      <c r="B189" s="13" t="n"/>
      <c r="C189" s="14" t="n"/>
      <c r="D189" s="15" t="n"/>
      <c r="E189" s="15" t="n"/>
      <c r="F189" s="15" t="n"/>
      <c r="G189" s="15" t="n"/>
      <c r="H189" s="16" t="n"/>
      <c r="I189" s="14" t="n"/>
      <c r="J189" s="17" t="n"/>
      <c r="K189" s="17">
        <f>IF(OR(H189="",J189=""),"",H189*J189)</f>
        <v/>
      </c>
      <c r="L189" s="12" t="n"/>
      <c r="M189" s="15" t="n"/>
      <c r="N189" s="15" t="n"/>
      <c r="O189" s="14" t="n"/>
      <c r="P189" s="14">
        <f>IF(OR(L189="",D189="",O189="납품완료",O189="취소"),"",IF(L189&lt;TODAY(),"지연",IF(L189-TODAY()&lt;=$L$1,"임박","")))</f>
        <v/>
      </c>
      <c r="Q189" s="14" t="n"/>
      <c r="R189" s="15" t="n"/>
      <c r="S189" s="18">
        <f>IF(F189="","",IF(COUNTIF(F$4:F189,F189)=1,MAX(S$3:S188)+1,""))</f>
        <v/>
      </c>
    </row>
    <row r="190">
      <c r="A190" s="12" t="n"/>
      <c r="B190" s="13" t="n"/>
      <c r="C190" s="14" t="n"/>
      <c r="D190" s="15" t="n"/>
      <c r="E190" s="15" t="n"/>
      <c r="F190" s="15" t="n"/>
      <c r="G190" s="15" t="n"/>
      <c r="H190" s="16" t="n"/>
      <c r="I190" s="14" t="n"/>
      <c r="J190" s="17" t="n"/>
      <c r="K190" s="17">
        <f>IF(OR(H190="",J190=""),"",H190*J190)</f>
        <v/>
      </c>
      <c r="L190" s="12" t="n"/>
      <c r="M190" s="15" t="n"/>
      <c r="N190" s="15" t="n"/>
      <c r="O190" s="14" t="n"/>
      <c r="P190" s="14">
        <f>IF(OR(L190="",D190="",O190="납품완료",O190="취소"),"",IF(L190&lt;TODAY(),"지연",IF(L190-TODAY()&lt;=$L$1,"임박","")))</f>
        <v/>
      </c>
      <c r="Q190" s="14" t="n"/>
      <c r="R190" s="15" t="n"/>
      <c r="S190" s="18">
        <f>IF(F190="","",IF(COUNTIF(F$4:F190,F190)=1,MAX(S$3:S189)+1,""))</f>
        <v/>
      </c>
    </row>
    <row r="191">
      <c r="A191" s="12" t="n"/>
      <c r="B191" s="13" t="n"/>
      <c r="C191" s="14" t="n"/>
      <c r="D191" s="15" t="n"/>
      <c r="E191" s="15" t="n"/>
      <c r="F191" s="15" t="n"/>
      <c r="G191" s="15" t="n"/>
      <c r="H191" s="16" t="n"/>
      <c r="I191" s="14" t="n"/>
      <c r="J191" s="17" t="n"/>
      <c r="K191" s="17">
        <f>IF(OR(H191="",J191=""),"",H191*J191)</f>
        <v/>
      </c>
      <c r="L191" s="12" t="n"/>
      <c r="M191" s="15" t="n"/>
      <c r="N191" s="15" t="n"/>
      <c r="O191" s="14" t="n"/>
      <c r="P191" s="14">
        <f>IF(OR(L191="",D191="",O191="납품완료",O191="취소"),"",IF(L191&lt;TODAY(),"지연",IF(L191-TODAY()&lt;=$L$1,"임박","")))</f>
        <v/>
      </c>
      <c r="Q191" s="14" t="n"/>
      <c r="R191" s="15" t="n"/>
      <c r="S191" s="18">
        <f>IF(F191="","",IF(COUNTIF(F$4:F191,F191)=1,MAX(S$3:S190)+1,""))</f>
        <v/>
      </c>
    </row>
    <row r="192">
      <c r="A192" s="12" t="n"/>
      <c r="B192" s="13" t="n"/>
      <c r="C192" s="14" t="n"/>
      <c r="D192" s="15" t="n"/>
      <c r="E192" s="15" t="n"/>
      <c r="F192" s="15" t="n"/>
      <c r="G192" s="15" t="n"/>
      <c r="H192" s="16" t="n"/>
      <c r="I192" s="14" t="n"/>
      <c r="J192" s="17" t="n"/>
      <c r="K192" s="17">
        <f>IF(OR(H192="",J192=""),"",H192*J192)</f>
        <v/>
      </c>
      <c r="L192" s="12" t="n"/>
      <c r="M192" s="15" t="n"/>
      <c r="N192" s="15" t="n"/>
      <c r="O192" s="14" t="n"/>
      <c r="P192" s="14">
        <f>IF(OR(L192="",D192="",O192="납품완료",O192="취소"),"",IF(L192&lt;TODAY(),"지연",IF(L192-TODAY()&lt;=$L$1,"임박","")))</f>
        <v/>
      </c>
      <c r="Q192" s="14" t="n"/>
      <c r="R192" s="15" t="n"/>
      <c r="S192" s="18">
        <f>IF(F192="","",IF(COUNTIF(F$4:F192,F192)=1,MAX(S$3:S191)+1,""))</f>
        <v/>
      </c>
    </row>
    <row r="193">
      <c r="A193" s="12" t="n"/>
      <c r="B193" s="13" t="n"/>
      <c r="C193" s="14" t="n"/>
      <c r="D193" s="15" t="n"/>
      <c r="E193" s="15" t="n"/>
      <c r="F193" s="15" t="n"/>
      <c r="G193" s="15" t="n"/>
      <c r="H193" s="16" t="n"/>
      <c r="I193" s="14" t="n"/>
      <c r="J193" s="17" t="n"/>
      <c r="K193" s="17">
        <f>IF(OR(H193="",J193=""),"",H193*J193)</f>
        <v/>
      </c>
      <c r="L193" s="12" t="n"/>
      <c r="M193" s="15" t="n"/>
      <c r="N193" s="15" t="n"/>
      <c r="O193" s="14" t="n"/>
      <c r="P193" s="14">
        <f>IF(OR(L193="",D193="",O193="납품완료",O193="취소"),"",IF(L193&lt;TODAY(),"지연",IF(L193-TODAY()&lt;=$L$1,"임박","")))</f>
        <v/>
      </c>
      <c r="Q193" s="14" t="n"/>
      <c r="R193" s="15" t="n"/>
      <c r="S193" s="18">
        <f>IF(F193="","",IF(COUNTIF(F$4:F193,F193)=1,MAX(S$3:S192)+1,""))</f>
        <v/>
      </c>
    </row>
    <row r="194">
      <c r="A194" s="12" t="n"/>
      <c r="B194" s="13" t="n"/>
      <c r="C194" s="14" t="n"/>
      <c r="D194" s="15" t="n"/>
      <c r="E194" s="15" t="n"/>
      <c r="F194" s="15" t="n"/>
      <c r="G194" s="15" t="n"/>
      <c r="H194" s="16" t="n"/>
      <c r="I194" s="14" t="n"/>
      <c r="J194" s="17" t="n"/>
      <c r="K194" s="17">
        <f>IF(OR(H194="",J194=""),"",H194*J194)</f>
        <v/>
      </c>
      <c r="L194" s="12" t="n"/>
      <c r="M194" s="15" t="n"/>
      <c r="N194" s="15" t="n"/>
      <c r="O194" s="14" t="n"/>
      <c r="P194" s="14">
        <f>IF(OR(L194="",D194="",O194="납품완료",O194="취소"),"",IF(L194&lt;TODAY(),"지연",IF(L194-TODAY()&lt;=$L$1,"임박","")))</f>
        <v/>
      </c>
      <c r="Q194" s="14" t="n"/>
      <c r="R194" s="15" t="n"/>
      <c r="S194" s="18">
        <f>IF(F194="","",IF(COUNTIF(F$4:F194,F194)=1,MAX(S$3:S193)+1,""))</f>
        <v/>
      </c>
    </row>
    <row r="195">
      <c r="A195" s="12" t="n"/>
      <c r="B195" s="13" t="n"/>
      <c r="C195" s="14" t="n"/>
      <c r="D195" s="15" t="n"/>
      <c r="E195" s="15" t="n"/>
      <c r="F195" s="15" t="n"/>
      <c r="G195" s="15" t="n"/>
      <c r="H195" s="16" t="n"/>
      <c r="I195" s="14" t="n"/>
      <c r="J195" s="17" t="n"/>
      <c r="K195" s="17">
        <f>IF(OR(H195="",J195=""),"",H195*J195)</f>
        <v/>
      </c>
      <c r="L195" s="12" t="n"/>
      <c r="M195" s="15" t="n"/>
      <c r="N195" s="15" t="n"/>
      <c r="O195" s="14" t="n"/>
      <c r="P195" s="14">
        <f>IF(OR(L195="",D195="",O195="납품완료",O195="취소"),"",IF(L195&lt;TODAY(),"지연",IF(L195-TODAY()&lt;=$L$1,"임박","")))</f>
        <v/>
      </c>
      <c r="Q195" s="14" t="n"/>
      <c r="R195" s="15" t="n"/>
      <c r="S195" s="18">
        <f>IF(F195="","",IF(COUNTIF(F$4:F195,F195)=1,MAX(S$3:S194)+1,""))</f>
        <v/>
      </c>
    </row>
    <row r="196">
      <c r="A196" s="12" t="n"/>
      <c r="B196" s="13" t="n"/>
      <c r="C196" s="14" t="n"/>
      <c r="D196" s="15" t="n"/>
      <c r="E196" s="15" t="n"/>
      <c r="F196" s="15" t="n"/>
      <c r="G196" s="15" t="n"/>
      <c r="H196" s="16" t="n"/>
      <c r="I196" s="14" t="n"/>
      <c r="J196" s="17" t="n"/>
      <c r="K196" s="17">
        <f>IF(OR(H196="",J196=""),"",H196*J196)</f>
        <v/>
      </c>
      <c r="L196" s="12" t="n"/>
      <c r="M196" s="15" t="n"/>
      <c r="N196" s="15" t="n"/>
      <c r="O196" s="14" t="n"/>
      <c r="P196" s="14">
        <f>IF(OR(L196="",D196="",O196="납품완료",O196="취소"),"",IF(L196&lt;TODAY(),"지연",IF(L196-TODAY()&lt;=$L$1,"임박","")))</f>
        <v/>
      </c>
      <c r="Q196" s="14" t="n"/>
      <c r="R196" s="15" t="n"/>
      <c r="S196" s="18">
        <f>IF(F196="","",IF(COUNTIF(F$4:F196,F196)=1,MAX(S$3:S195)+1,""))</f>
        <v/>
      </c>
    </row>
    <row r="197">
      <c r="A197" s="12" t="n"/>
      <c r="B197" s="13" t="n"/>
      <c r="C197" s="14" t="n"/>
      <c r="D197" s="15" t="n"/>
      <c r="E197" s="15" t="n"/>
      <c r="F197" s="15" t="n"/>
      <c r="G197" s="15" t="n"/>
      <c r="H197" s="16" t="n"/>
      <c r="I197" s="14" t="n"/>
      <c r="J197" s="17" t="n"/>
      <c r="K197" s="17">
        <f>IF(OR(H197="",J197=""),"",H197*J197)</f>
        <v/>
      </c>
      <c r="L197" s="12" t="n"/>
      <c r="M197" s="15" t="n"/>
      <c r="N197" s="15" t="n"/>
      <c r="O197" s="14" t="n"/>
      <c r="P197" s="14">
        <f>IF(OR(L197="",D197="",O197="납품완료",O197="취소"),"",IF(L197&lt;TODAY(),"지연",IF(L197-TODAY()&lt;=$L$1,"임박","")))</f>
        <v/>
      </c>
      <c r="Q197" s="14" t="n"/>
      <c r="R197" s="15" t="n"/>
      <c r="S197" s="18">
        <f>IF(F197="","",IF(COUNTIF(F$4:F197,F197)=1,MAX(S$3:S196)+1,""))</f>
        <v/>
      </c>
    </row>
    <row r="198">
      <c r="A198" s="12" t="n"/>
      <c r="B198" s="13" t="n"/>
      <c r="C198" s="14" t="n"/>
      <c r="D198" s="15" t="n"/>
      <c r="E198" s="15" t="n"/>
      <c r="F198" s="15" t="n"/>
      <c r="G198" s="15" t="n"/>
      <c r="H198" s="16" t="n"/>
      <c r="I198" s="14" t="n"/>
      <c r="J198" s="17" t="n"/>
      <c r="K198" s="17">
        <f>IF(OR(H198="",J198=""),"",H198*J198)</f>
        <v/>
      </c>
      <c r="L198" s="12" t="n"/>
      <c r="M198" s="15" t="n"/>
      <c r="N198" s="15" t="n"/>
      <c r="O198" s="14" t="n"/>
      <c r="P198" s="14">
        <f>IF(OR(L198="",D198="",O198="납품완료",O198="취소"),"",IF(L198&lt;TODAY(),"지연",IF(L198-TODAY()&lt;=$L$1,"임박","")))</f>
        <v/>
      </c>
      <c r="Q198" s="14" t="n"/>
      <c r="R198" s="15" t="n"/>
      <c r="S198" s="18">
        <f>IF(F198="","",IF(COUNTIF(F$4:F198,F198)=1,MAX(S$3:S197)+1,""))</f>
        <v/>
      </c>
    </row>
    <row r="199">
      <c r="A199" s="12" t="n"/>
      <c r="B199" s="13" t="n"/>
      <c r="C199" s="14" t="n"/>
      <c r="D199" s="15" t="n"/>
      <c r="E199" s="15" t="n"/>
      <c r="F199" s="15" t="n"/>
      <c r="G199" s="15" t="n"/>
      <c r="H199" s="16" t="n"/>
      <c r="I199" s="14" t="n"/>
      <c r="J199" s="17" t="n"/>
      <c r="K199" s="17">
        <f>IF(OR(H199="",J199=""),"",H199*J199)</f>
        <v/>
      </c>
      <c r="L199" s="12" t="n"/>
      <c r="M199" s="15" t="n"/>
      <c r="N199" s="15" t="n"/>
      <c r="O199" s="14" t="n"/>
      <c r="P199" s="14">
        <f>IF(OR(L199="",D199="",O199="납품완료",O199="취소"),"",IF(L199&lt;TODAY(),"지연",IF(L199-TODAY()&lt;=$L$1,"임박","")))</f>
        <v/>
      </c>
      <c r="Q199" s="14" t="n"/>
      <c r="R199" s="15" t="n"/>
      <c r="S199" s="18">
        <f>IF(F199="","",IF(COUNTIF(F$4:F199,F199)=1,MAX(S$3:S198)+1,""))</f>
        <v/>
      </c>
    </row>
    <row r="200">
      <c r="A200" s="12" t="n"/>
      <c r="B200" s="13" t="n"/>
      <c r="C200" s="14" t="n"/>
      <c r="D200" s="15" t="n"/>
      <c r="E200" s="15" t="n"/>
      <c r="F200" s="15" t="n"/>
      <c r="G200" s="15" t="n"/>
      <c r="H200" s="16" t="n"/>
      <c r="I200" s="14" t="n"/>
      <c r="J200" s="17" t="n"/>
      <c r="K200" s="17">
        <f>IF(OR(H200="",J200=""),"",H200*J200)</f>
        <v/>
      </c>
      <c r="L200" s="12" t="n"/>
      <c r="M200" s="15" t="n"/>
      <c r="N200" s="15" t="n"/>
      <c r="O200" s="14" t="n"/>
      <c r="P200" s="14">
        <f>IF(OR(L200="",D200="",O200="납품완료",O200="취소"),"",IF(L200&lt;TODAY(),"지연",IF(L200-TODAY()&lt;=$L$1,"임박","")))</f>
        <v/>
      </c>
      <c r="Q200" s="14" t="n"/>
      <c r="R200" s="15" t="n"/>
      <c r="S200" s="18">
        <f>IF(F200="","",IF(COUNTIF(F$4:F200,F200)=1,MAX(S$3:S199)+1,""))</f>
        <v/>
      </c>
    </row>
    <row r="201">
      <c r="A201" s="12" t="n"/>
      <c r="B201" s="13" t="n"/>
      <c r="C201" s="14" t="n"/>
      <c r="D201" s="15" t="n"/>
      <c r="E201" s="15" t="n"/>
      <c r="F201" s="15" t="n"/>
      <c r="G201" s="15" t="n"/>
      <c r="H201" s="16" t="n"/>
      <c r="I201" s="14" t="n"/>
      <c r="J201" s="17" t="n"/>
      <c r="K201" s="17">
        <f>IF(OR(H201="",J201=""),"",H201*J201)</f>
        <v/>
      </c>
      <c r="L201" s="12" t="n"/>
      <c r="M201" s="15" t="n"/>
      <c r="N201" s="15" t="n"/>
      <c r="O201" s="14" t="n"/>
      <c r="P201" s="14">
        <f>IF(OR(L201="",D201="",O201="납품완료",O201="취소"),"",IF(L201&lt;TODAY(),"지연",IF(L201-TODAY()&lt;=$L$1,"임박","")))</f>
        <v/>
      </c>
      <c r="Q201" s="14" t="n"/>
      <c r="R201" s="15" t="n"/>
      <c r="S201" s="18">
        <f>IF(F201="","",IF(COUNTIF(F$4:F201,F201)=1,MAX(S$3:S200)+1,""))</f>
        <v/>
      </c>
    </row>
    <row r="202">
      <c r="A202" s="12" t="n"/>
      <c r="B202" s="13" t="n"/>
      <c r="C202" s="14" t="n"/>
      <c r="D202" s="15" t="n"/>
      <c r="E202" s="15" t="n"/>
      <c r="F202" s="15" t="n"/>
      <c r="G202" s="15" t="n"/>
      <c r="H202" s="16" t="n"/>
      <c r="I202" s="14" t="n"/>
      <c r="J202" s="17" t="n"/>
      <c r="K202" s="17">
        <f>IF(OR(H202="",J202=""),"",H202*J202)</f>
        <v/>
      </c>
      <c r="L202" s="12" t="n"/>
      <c r="M202" s="15" t="n"/>
      <c r="N202" s="15" t="n"/>
      <c r="O202" s="14" t="n"/>
      <c r="P202" s="14">
        <f>IF(OR(L202="",D202="",O202="납품완료",O202="취소"),"",IF(L202&lt;TODAY(),"지연",IF(L202-TODAY()&lt;=$L$1,"임박","")))</f>
        <v/>
      </c>
      <c r="Q202" s="14" t="n"/>
      <c r="R202" s="15" t="n"/>
      <c r="S202" s="18">
        <f>IF(F202="","",IF(COUNTIF(F$4:F202,F202)=1,MAX(S$3:S201)+1,""))</f>
        <v/>
      </c>
    </row>
    <row r="203">
      <c r="A203" s="12" t="n"/>
      <c r="B203" s="13" t="n"/>
      <c r="C203" s="14" t="n"/>
      <c r="D203" s="15" t="n"/>
      <c r="E203" s="15" t="n"/>
      <c r="F203" s="15" t="n"/>
      <c r="G203" s="15" t="n"/>
      <c r="H203" s="16" t="n"/>
      <c r="I203" s="14" t="n"/>
      <c r="J203" s="17" t="n"/>
      <c r="K203" s="17">
        <f>IF(OR(H203="",J203=""),"",H203*J203)</f>
        <v/>
      </c>
      <c r="L203" s="12" t="n"/>
      <c r="M203" s="15" t="n"/>
      <c r="N203" s="15" t="n"/>
      <c r="O203" s="14" t="n"/>
      <c r="P203" s="14">
        <f>IF(OR(L203="",D203="",O203="납품완료",O203="취소"),"",IF(L203&lt;TODAY(),"지연",IF(L203-TODAY()&lt;=$L$1,"임박","")))</f>
        <v/>
      </c>
      <c r="Q203" s="14" t="n"/>
      <c r="R203" s="15" t="n"/>
      <c r="S203" s="18">
        <f>IF(F203="","",IF(COUNTIF(F$4:F203,F203)=1,MAX(S$3:S202)+1,""))</f>
        <v/>
      </c>
    </row>
    <row r="204">
      <c r="A204" s="12" t="n"/>
      <c r="B204" s="13" t="n"/>
      <c r="C204" s="14" t="n"/>
      <c r="D204" s="15" t="n"/>
      <c r="E204" s="15" t="n"/>
      <c r="F204" s="15" t="n"/>
      <c r="G204" s="15" t="n"/>
      <c r="H204" s="16" t="n"/>
      <c r="I204" s="14" t="n"/>
      <c r="J204" s="17" t="n"/>
      <c r="K204" s="17">
        <f>IF(OR(H204="",J204=""),"",H204*J204)</f>
        <v/>
      </c>
      <c r="L204" s="12" t="n"/>
      <c r="M204" s="15" t="n"/>
      <c r="N204" s="15" t="n"/>
      <c r="O204" s="14" t="n"/>
      <c r="P204" s="14">
        <f>IF(OR(L204="",D204="",O204="납품완료",O204="취소"),"",IF(L204&lt;TODAY(),"지연",IF(L204-TODAY()&lt;=$L$1,"임박","")))</f>
        <v/>
      </c>
      <c r="Q204" s="14" t="n"/>
      <c r="R204" s="15" t="n"/>
      <c r="S204" s="18">
        <f>IF(F204="","",IF(COUNTIF(F$4:F204,F204)=1,MAX(S$3:S203)+1,""))</f>
        <v/>
      </c>
    </row>
    <row r="205">
      <c r="A205" s="12" t="n"/>
      <c r="B205" s="13" t="n"/>
      <c r="C205" s="14" t="n"/>
      <c r="D205" s="15" t="n"/>
      <c r="E205" s="15" t="n"/>
      <c r="F205" s="15" t="n"/>
      <c r="G205" s="15" t="n"/>
      <c r="H205" s="16" t="n"/>
      <c r="I205" s="14" t="n"/>
      <c r="J205" s="17" t="n"/>
      <c r="K205" s="17">
        <f>IF(OR(H205="",J205=""),"",H205*J205)</f>
        <v/>
      </c>
      <c r="L205" s="12" t="n"/>
      <c r="M205" s="15" t="n"/>
      <c r="N205" s="15" t="n"/>
      <c r="O205" s="14" t="n"/>
      <c r="P205" s="14">
        <f>IF(OR(L205="",D205="",O205="납품완료",O205="취소"),"",IF(L205&lt;TODAY(),"지연",IF(L205-TODAY()&lt;=$L$1,"임박","")))</f>
        <v/>
      </c>
      <c r="Q205" s="14" t="n"/>
      <c r="R205" s="15" t="n"/>
      <c r="S205" s="18">
        <f>IF(F205="","",IF(COUNTIF(F$4:F205,F205)=1,MAX(S$3:S204)+1,""))</f>
        <v/>
      </c>
    </row>
    <row r="206">
      <c r="A206" s="12" t="n"/>
      <c r="B206" s="13" t="n"/>
      <c r="C206" s="14" t="n"/>
      <c r="D206" s="15" t="n"/>
      <c r="E206" s="15" t="n"/>
      <c r="F206" s="15" t="n"/>
      <c r="G206" s="15" t="n"/>
      <c r="H206" s="16" t="n"/>
      <c r="I206" s="14" t="n"/>
      <c r="J206" s="17" t="n"/>
      <c r="K206" s="17">
        <f>IF(OR(H206="",J206=""),"",H206*J206)</f>
        <v/>
      </c>
      <c r="L206" s="12" t="n"/>
      <c r="M206" s="15" t="n"/>
      <c r="N206" s="15" t="n"/>
      <c r="O206" s="14" t="n"/>
      <c r="P206" s="14">
        <f>IF(OR(L206="",D206="",O206="납품완료",O206="취소"),"",IF(L206&lt;TODAY(),"지연",IF(L206-TODAY()&lt;=$L$1,"임박","")))</f>
        <v/>
      </c>
      <c r="Q206" s="14" t="n"/>
      <c r="R206" s="15" t="n"/>
      <c r="S206" s="18">
        <f>IF(F206="","",IF(COUNTIF(F$4:F206,F206)=1,MAX(S$3:S205)+1,""))</f>
        <v/>
      </c>
    </row>
    <row r="207">
      <c r="A207" s="12" t="n"/>
      <c r="B207" s="13" t="n"/>
      <c r="C207" s="14" t="n"/>
      <c r="D207" s="15" t="n"/>
      <c r="E207" s="15" t="n"/>
      <c r="F207" s="15" t="n"/>
      <c r="G207" s="15" t="n"/>
      <c r="H207" s="16" t="n"/>
      <c r="I207" s="14" t="n"/>
      <c r="J207" s="17" t="n"/>
      <c r="K207" s="17">
        <f>IF(OR(H207="",J207=""),"",H207*J207)</f>
        <v/>
      </c>
      <c r="L207" s="12" t="n"/>
      <c r="M207" s="15" t="n"/>
      <c r="N207" s="15" t="n"/>
      <c r="O207" s="14" t="n"/>
      <c r="P207" s="14">
        <f>IF(OR(L207="",D207="",O207="납품완료",O207="취소"),"",IF(L207&lt;TODAY(),"지연",IF(L207-TODAY()&lt;=$L$1,"임박","")))</f>
        <v/>
      </c>
      <c r="Q207" s="14" t="n"/>
      <c r="R207" s="15" t="n"/>
      <c r="S207" s="18">
        <f>IF(F207="","",IF(COUNTIF(F$4:F207,F207)=1,MAX(S$3:S206)+1,""))</f>
        <v/>
      </c>
    </row>
    <row r="208">
      <c r="A208" s="12" t="n"/>
      <c r="B208" s="13" t="n"/>
      <c r="C208" s="14" t="n"/>
      <c r="D208" s="15" t="n"/>
      <c r="E208" s="15" t="n"/>
      <c r="F208" s="15" t="n"/>
      <c r="G208" s="15" t="n"/>
      <c r="H208" s="16" t="n"/>
      <c r="I208" s="14" t="n"/>
      <c r="J208" s="17" t="n"/>
      <c r="K208" s="17">
        <f>IF(OR(H208="",J208=""),"",H208*J208)</f>
        <v/>
      </c>
      <c r="L208" s="12" t="n"/>
      <c r="M208" s="15" t="n"/>
      <c r="N208" s="15" t="n"/>
      <c r="O208" s="14" t="n"/>
      <c r="P208" s="14">
        <f>IF(OR(L208="",D208="",O208="납품완료",O208="취소"),"",IF(L208&lt;TODAY(),"지연",IF(L208-TODAY()&lt;=$L$1,"임박","")))</f>
        <v/>
      </c>
      <c r="Q208" s="14" t="n"/>
      <c r="R208" s="15" t="n"/>
      <c r="S208" s="18">
        <f>IF(F208="","",IF(COUNTIF(F$4:F208,F208)=1,MAX(S$3:S207)+1,""))</f>
        <v/>
      </c>
    </row>
    <row r="209">
      <c r="A209" s="12" t="n"/>
      <c r="B209" s="13" t="n"/>
      <c r="C209" s="14" t="n"/>
      <c r="D209" s="15" t="n"/>
      <c r="E209" s="15" t="n"/>
      <c r="F209" s="15" t="n"/>
      <c r="G209" s="15" t="n"/>
      <c r="H209" s="16" t="n"/>
      <c r="I209" s="14" t="n"/>
      <c r="J209" s="17" t="n"/>
      <c r="K209" s="17">
        <f>IF(OR(H209="",J209=""),"",H209*J209)</f>
        <v/>
      </c>
      <c r="L209" s="12" t="n"/>
      <c r="M209" s="15" t="n"/>
      <c r="N209" s="15" t="n"/>
      <c r="O209" s="14" t="n"/>
      <c r="P209" s="14">
        <f>IF(OR(L209="",D209="",O209="납품완료",O209="취소"),"",IF(L209&lt;TODAY(),"지연",IF(L209-TODAY()&lt;=$L$1,"임박","")))</f>
        <v/>
      </c>
      <c r="Q209" s="14" t="n"/>
      <c r="R209" s="15" t="n"/>
      <c r="S209" s="18">
        <f>IF(F209="","",IF(COUNTIF(F$4:F209,F209)=1,MAX(S$3:S208)+1,""))</f>
        <v/>
      </c>
    </row>
    <row r="210">
      <c r="A210" s="12" t="n"/>
      <c r="B210" s="13" t="n"/>
      <c r="C210" s="14" t="n"/>
      <c r="D210" s="15" t="n"/>
      <c r="E210" s="15" t="n"/>
      <c r="F210" s="15" t="n"/>
      <c r="G210" s="15" t="n"/>
      <c r="H210" s="16" t="n"/>
      <c r="I210" s="14" t="n"/>
      <c r="J210" s="17" t="n"/>
      <c r="K210" s="17">
        <f>IF(OR(H210="",J210=""),"",H210*J210)</f>
        <v/>
      </c>
      <c r="L210" s="12" t="n"/>
      <c r="M210" s="15" t="n"/>
      <c r="N210" s="15" t="n"/>
      <c r="O210" s="14" t="n"/>
      <c r="P210" s="14">
        <f>IF(OR(L210="",D210="",O210="납품완료",O210="취소"),"",IF(L210&lt;TODAY(),"지연",IF(L210-TODAY()&lt;=$L$1,"임박","")))</f>
        <v/>
      </c>
      <c r="Q210" s="14" t="n"/>
      <c r="R210" s="15" t="n"/>
      <c r="S210" s="18">
        <f>IF(F210="","",IF(COUNTIF(F$4:F210,F210)=1,MAX(S$3:S209)+1,""))</f>
        <v/>
      </c>
    </row>
    <row r="211">
      <c r="A211" s="12" t="n"/>
      <c r="B211" s="13" t="n"/>
      <c r="C211" s="14" t="n"/>
      <c r="D211" s="15" t="n"/>
      <c r="E211" s="15" t="n"/>
      <c r="F211" s="15" t="n"/>
      <c r="G211" s="15" t="n"/>
      <c r="H211" s="16" t="n"/>
      <c r="I211" s="14" t="n"/>
      <c r="J211" s="17" t="n"/>
      <c r="K211" s="17">
        <f>IF(OR(H211="",J211=""),"",H211*J211)</f>
        <v/>
      </c>
      <c r="L211" s="12" t="n"/>
      <c r="M211" s="15" t="n"/>
      <c r="N211" s="15" t="n"/>
      <c r="O211" s="14" t="n"/>
      <c r="P211" s="14">
        <f>IF(OR(L211="",D211="",O211="납품완료",O211="취소"),"",IF(L211&lt;TODAY(),"지연",IF(L211-TODAY()&lt;=$L$1,"임박","")))</f>
        <v/>
      </c>
      <c r="Q211" s="14" t="n"/>
      <c r="R211" s="15" t="n"/>
      <c r="S211" s="18">
        <f>IF(F211="","",IF(COUNTIF(F$4:F211,F211)=1,MAX(S$3:S210)+1,""))</f>
        <v/>
      </c>
    </row>
    <row r="212">
      <c r="A212" s="12" t="n"/>
      <c r="B212" s="13" t="n"/>
      <c r="C212" s="14" t="n"/>
      <c r="D212" s="15" t="n"/>
      <c r="E212" s="15" t="n"/>
      <c r="F212" s="15" t="n"/>
      <c r="G212" s="15" t="n"/>
      <c r="H212" s="16" t="n"/>
      <c r="I212" s="14" t="n"/>
      <c r="J212" s="17" t="n"/>
      <c r="K212" s="17">
        <f>IF(OR(H212="",J212=""),"",H212*J212)</f>
        <v/>
      </c>
      <c r="L212" s="12" t="n"/>
      <c r="M212" s="15" t="n"/>
      <c r="N212" s="15" t="n"/>
      <c r="O212" s="14" t="n"/>
      <c r="P212" s="14">
        <f>IF(OR(L212="",D212="",O212="납품완료",O212="취소"),"",IF(L212&lt;TODAY(),"지연",IF(L212-TODAY()&lt;=$L$1,"임박","")))</f>
        <v/>
      </c>
      <c r="Q212" s="14" t="n"/>
      <c r="R212" s="15" t="n"/>
      <c r="S212" s="18">
        <f>IF(F212="","",IF(COUNTIF(F$4:F212,F212)=1,MAX(S$3:S211)+1,""))</f>
        <v/>
      </c>
    </row>
    <row r="213">
      <c r="A213" s="12" t="n"/>
      <c r="B213" s="13" t="n"/>
      <c r="C213" s="14" t="n"/>
      <c r="D213" s="15" t="n"/>
      <c r="E213" s="15" t="n"/>
      <c r="F213" s="15" t="n"/>
      <c r="G213" s="15" t="n"/>
      <c r="H213" s="16" t="n"/>
      <c r="I213" s="14" t="n"/>
      <c r="J213" s="17" t="n"/>
      <c r="K213" s="17">
        <f>IF(OR(H213="",J213=""),"",H213*J213)</f>
        <v/>
      </c>
      <c r="L213" s="12" t="n"/>
      <c r="M213" s="15" t="n"/>
      <c r="N213" s="15" t="n"/>
      <c r="O213" s="14" t="n"/>
      <c r="P213" s="14">
        <f>IF(OR(L213="",D213="",O213="납품완료",O213="취소"),"",IF(L213&lt;TODAY(),"지연",IF(L213-TODAY()&lt;=$L$1,"임박","")))</f>
        <v/>
      </c>
      <c r="Q213" s="14" t="n"/>
      <c r="R213" s="15" t="n"/>
      <c r="S213" s="18">
        <f>IF(F213="","",IF(COUNTIF(F$4:F213,F213)=1,MAX(S$3:S212)+1,""))</f>
        <v/>
      </c>
    </row>
    <row r="214">
      <c r="A214" s="12" t="n"/>
      <c r="B214" s="13" t="n"/>
      <c r="C214" s="14" t="n"/>
      <c r="D214" s="15" t="n"/>
      <c r="E214" s="15" t="n"/>
      <c r="F214" s="15" t="n"/>
      <c r="G214" s="15" t="n"/>
      <c r="H214" s="16" t="n"/>
      <c r="I214" s="14" t="n"/>
      <c r="J214" s="17" t="n"/>
      <c r="K214" s="17">
        <f>IF(OR(H214="",J214=""),"",H214*J214)</f>
        <v/>
      </c>
      <c r="L214" s="12" t="n"/>
      <c r="M214" s="15" t="n"/>
      <c r="N214" s="15" t="n"/>
      <c r="O214" s="14" t="n"/>
      <c r="P214" s="14">
        <f>IF(OR(L214="",D214="",O214="납품완료",O214="취소"),"",IF(L214&lt;TODAY(),"지연",IF(L214-TODAY()&lt;=$L$1,"임박","")))</f>
        <v/>
      </c>
      <c r="Q214" s="14" t="n"/>
      <c r="R214" s="15" t="n"/>
      <c r="S214" s="18">
        <f>IF(F214="","",IF(COUNTIF(F$4:F214,F214)=1,MAX(S$3:S213)+1,""))</f>
        <v/>
      </c>
    </row>
    <row r="215">
      <c r="A215" s="12" t="n"/>
      <c r="B215" s="13" t="n"/>
      <c r="C215" s="14" t="n"/>
      <c r="D215" s="15" t="n"/>
      <c r="E215" s="15" t="n"/>
      <c r="F215" s="15" t="n"/>
      <c r="G215" s="15" t="n"/>
      <c r="H215" s="16" t="n"/>
      <c r="I215" s="14" t="n"/>
      <c r="J215" s="17" t="n"/>
      <c r="K215" s="17">
        <f>IF(OR(H215="",J215=""),"",H215*J215)</f>
        <v/>
      </c>
      <c r="L215" s="12" t="n"/>
      <c r="M215" s="15" t="n"/>
      <c r="N215" s="15" t="n"/>
      <c r="O215" s="14" t="n"/>
      <c r="P215" s="14">
        <f>IF(OR(L215="",D215="",O215="납품완료",O215="취소"),"",IF(L215&lt;TODAY(),"지연",IF(L215-TODAY()&lt;=$L$1,"임박","")))</f>
        <v/>
      </c>
      <c r="Q215" s="14" t="n"/>
      <c r="R215" s="15" t="n"/>
      <c r="S215" s="18">
        <f>IF(F215="","",IF(COUNTIF(F$4:F215,F215)=1,MAX(S$3:S214)+1,""))</f>
        <v/>
      </c>
    </row>
    <row r="216">
      <c r="A216" s="12" t="n"/>
      <c r="B216" s="13" t="n"/>
      <c r="C216" s="14" t="n"/>
      <c r="D216" s="15" t="n"/>
      <c r="E216" s="15" t="n"/>
      <c r="F216" s="15" t="n"/>
      <c r="G216" s="15" t="n"/>
      <c r="H216" s="16" t="n"/>
      <c r="I216" s="14" t="n"/>
      <c r="J216" s="17" t="n"/>
      <c r="K216" s="17">
        <f>IF(OR(H216="",J216=""),"",H216*J216)</f>
        <v/>
      </c>
      <c r="L216" s="12" t="n"/>
      <c r="M216" s="15" t="n"/>
      <c r="N216" s="15" t="n"/>
      <c r="O216" s="14" t="n"/>
      <c r="P216" s="14">
        <f>IF(OR(L216="",D216="",O216="납품완료",O216="취소"),"",IF(L216&lt;TODAY(),"지연",IF(L216-TODAY()&lt;=$L$1,"임박","")))</f>
        <v/>
      </c>
      <c r="Q216" s="14" t="n"/>
      <c r="R216" s="15" t="n"/>
      <c r="S216" s="18">
        <f>IF(F216="","",IF(COUNTIF(F$4:F216,F216)=1,MAX(S$3:S215)+1,""))</f>
        <v/>
      </c>
    </row>
    <row r="217">
      <c r="A217" s="12" t="n"/>
      <c r="B217" s="13" t="n"/>
      <c r="C217" s="14" t="n"/>
      <c r="D217" s="15" t="n"/>
      <c r="E217" s="15" t="n"/>
      <c r="F217" s="15" t="n"/>
      <c r="G217" s="15" t="n"/>
      <c r="H217" s="16" t="n"/>
      <c r="I217" s="14" t="n"/>
      <c r="J217" s="17" t="n"/>
      <c r="K217" s="17">
        <f>IF(OR(H217="",J217=""),"",H217*J217)</f>
        <v/>
      </c>
      <c r="L217" s="12" t="n"/>
      <c r="M217" s="15" t="n"/>
      <c r="N217" s="15" t="n"/>
      <c r="O217" s="14" t="n"/>
      <c r="P217" s="14">
        <f>IF(OR(L217="",D217="",O217="납품완료",O217="취소"),"",IF(L217&lt;TODAY(),"지연",IF(L217-TODAY()&lt;=$L$1,"임박","")))</f>
        <v/>
      </c>
      <c r="Q217" s="14" t="n"/>
      <c r="R217" s="15" t="n"/>
      <c r="S217" s="18">
        <f>IF(F217="","",IF(COUNTIF(F$4:F217,F217)=1,MAX(S$3:S216)+1,""))</f>
        <v/>
      </c>
    </row>
    <row r="218">
      <c r="A218" s="12" t="n"/>
      <c r="B218" s="13" t="n"/>
      <c r="C218" s="14" t="n"/>
      <c r="D218" s="15" t="n"/>
      <c r="E218" s="15" t="n"/>
      <c r="F218" s="15" t="n"/>
      <c r="G218" s="15" t="n"/>
      <c r="H218" s="16" t="n"/>
      <c r="I218" s="14" t="n"/>
      <c r="J218" s="17" t="n"/>
      <c r="K218" s="17">
        <f>IF(OR(H218="",J218=""),"",H218*J218)</f>
        <v/>
      </c>
      <c r="L218" s="12" t="n"/>
      <c r="M218" s="15" t="n"/>
      <c r="N218" s="15" t="n"/>
      <c r="O218" s="14" t="n"/>
      <c r="P218" s="14">
        <f>IF(OR(L218="",D218="",O218="납품완료",O218="취소"),"",IF(L218&lt;TODAY(),"지연",IF(L218-TODAY()&lt;=$L$1,"임박","")))</f>
        <v/>
      </c>
      <c r="Q218" s="14" t="n"/>
      <c r="R218" s="15" t="n"/>
      <c r="S218" s="18">
        <f>IF(F218="","",IF(COUNTIF(F$4:F218,F218)=1,MAX(S$3:S217)+1,""))</f>
        <v/>
      </c>
    </row>
    <row r="219">
      <c r="A219" s="12" t="n"/>
      <c r="B219" s="13" t="n"/>
      <c r="C219" s="14" t="n"/>
      <c r="D219" s="15" t="n"/>
      <c r="E219" s="15" t="n"/>
      <c r="F219" s="15" t="n"/>
      <c r="G219" s="15" t="n"/>
      <c r="H219" s="16" t="n"/>
      <c r="I219" s="14" t="n"/>
      <c r="J219" s="17" t="n"/>
      <c r="K219" s="17">
        <f>IF(OR(H219="",J219=""),"",H219*J219)</f>
        <v/>
      </c>
      <c r="L219" s="12" t="n"/>
      <c r="M219" s="15" t="n"/>
      <c r="N219" s="15" t="n"/>
      <c r="O219" s="14" t="n"/>
      <c r="P219" s="14">
        <f>IF(OR(L219="",D219="",O219="납품완료",O219="취소"),"",IF(L219&lt;TODAY(),"지연",IF(L219-TODAY()&lt;=$L$1,"임박","")))</f>
        <v/>
      </c>
      <c r="Q219" s="14" t="n"/>
      <c r="R219" s="15" t="n"/>
      <c r="S219" s="18">
        <f>IF(F219="","",IF(COUNTIF(F$4:F219,F219)=1,MAX(S$3:S218)+1,""))</f>
        <v/>
      </c>
    </row>
    <row r="220">
      <c r="A220" s="12" t="n"/>
      <c r="B220" s="13" t="n"/>
      <c r="C220" s="14" t="n"/>
      <c r="D220" s="15" t="n"/>
      <c r="E220" s="15" t="n"/>
      <c r="F220" s="15" t="n"/>
      <c r="G220" s="15" t="n"/>
      <c r="H220" s="16" t="n"/>
      <c r="I220" s="14" t="n"/>
      <c r="J220" s="17" t="n"/>
      <c r="K220" s="17">
        <f>IF(OR(H220="",J220=""),"",H220*J220)</f>
        <v/>
      </c>
      <c r="L220" s="12" t="n"/>
      <c r="M220" s="15" t="n"/>
      <c r="N220" s="15" t="n"/>
      <c r="O220" s="14" t="n"/>
      <c r="P220" s="14">
        <f>IF(OR(L220="",D220="",O220="납품완료",O220="취소"),"",IF(L220&lt;TODAY(),"지연",IF(L220-TODAY()&lt;=$L$1,"임박","")))</f>
        <v/>
      </c>
      <c r="Q220" s="14" t="n"/>
      <c r="R220" s="15" t="n"/>
      <c r="S220" s="18">
        <f>IF(F220="","",IF(COUNTIF(F$4:F220,F220)=1,MAX(S$3:S219)+1,""))</f>
        <v/>
      </c>
    </row>
    <row r="221">
      <c r="A221" s="12" t="n"/>
      <c r="B221" s="13" t="n"/>
      <c r="C221" s="14" t="n"/>
      <c r="D221" s="15" t="n"/>
      <c r="E221" s="15" t="n"/>
      <c r="F221" s="15" t="n"/>
      <c r="G221" s="15" t="n"/>
      <c r="H221" s="16" t="n"/>
      <c r="I221" s="14" t="n"/>
      <c r="J221" s="17" t="n"/>
      <c r="K221" s="17">
        <f>IF(OR(H221="",J221=""),"",H221*J221)</f>
        <v/>
      </c>
      <c r="L221" s="12" t="n"/>
      <c r="M221" s="15" t="n"/>
      <c r="N221" s="15" t="n"/>
      <c r="O221" s="14" t="n"/>
      <c r="P221" s="14">
        <f>IF(OR(L221="",D221="",O221="납품완료",O221="취소"),"",IF(L221&lt;TODAY(),"지연",IF(L221-TODAY()&lt;=$L$1,"임박","")))</f>
        <v/>
      </c>
      <c r="Q221" s="14" t="n"/>
      <c r="R221" s="15" t="n"/>
      <c r="S221" s="18">
        <f>IF(F221="","",IF(COUNTIF(F$4:F221,F221)=1,MAX(S$3:S220)+1,""))</f>
        <v/>
      </c>
    </row>
    <row r="222">
      <c r="A222" s="12" t="n"/>
      <c r="B222" s="13" t="n"/>
      <c r="C222" s="14" t="n"/>
      <c r="D222" s="15" t="n"/>
      <c r="E222" s="15" t="n"/>
      <c r="F222" s="15" t="n"/>
      <c r="G222" s="15" t="n"/>
      <c r="H222" s="16" t="n"/>
      <c r="I222" s="14" t="n"/>
      <c r="J222" s="17" t="n"/>
      <c r="K222" s="17">
        <f>IF(OR(H222="",J222=""),"",H222*J222)</f>
        <v/>
      </c>
      <c r="L222" s="12" t="n"/>
      <c r="M222" s="15" t="n"/>
      <c r="N222" s="15" t="n"/>
      <c r="O222" s="14" t="n"/>
      <c r="P222" s="14">
        <f>IF(OR(L222="",D222="",O222="납품완료",O222="취소"),"",IF(L222&lt;TODAY(),"지연",IF(L222-TODAY()&lt;=$L$1,"임박","")))</f>
        <v/>
      </c>
      <c r="Q222" s="14" t="n"/>
      <c r="R222" s="15" t="n"/>
      <c r="S222" s="18">
        <f>IF(F222="","",IF(COUNTIF(F$4:F222,F222)=1,MAX(S$3:S221)+1,""))</f>
        <v/>
      </c>
    </row>
    <row r="223">
      <c r="A223" s="12" t="n"/>
      <c r="B223" s="13" t="n"/>
      <c r="C223" s="14" t="n"/>
      <c r="D223" s="15" t="n"/>
      <c r="E223" s="15" t="n"/>
      <c r="F223" s="15" t="n"/>
      <c r="G223" s="15" t="n"/>
      <c r="H223" s="16" t="n"/>
      <c r="I223" s="14" t="n"/>
      <c r="J223" s="17" t="n"/>
      <c r="K223" s="17">
        <f>IF(OR(H223="",J223=""),"",H223*J223)</f>
        <v/>
      </c>
      <c r="L223" s="12" t="n"/>
      <c r="M223" s="15" t="n"/>
      <c r="N223" s="15" t="n"/>
      <c r="O223" s="14" t="n"/>
      <c r="P223" s="14">
        <f>IF(OR(L223="",D223="",O223="납품완료",O223="취소"),"",IF(L223&lt;TODAY(),"지연",IF(L223-TODAY()&lt;=$L$1,"임박","")))</f>
        <v/>
      </c>
      <c r="Q223" s="14" t="n"/>
      <c r="R223" s="15" t="n"/>
      <c r="S223" s="18">
        <f>IF(F223="","",IF(COUNTIF(F$4:F223,F223)=1,MAX(S$3:S222)+1,""))</f>
        <v/>
      </c>
    </row>
    <row r="224">
      <c r="A224" s="12" t="n"/>
      <c r="B224" s="13" t="n"/>
      <c r="C224" s="14" t="n"/>
      <c r="D224" s="15" t="n"/>
      <c r="E224" s="15" t="n"/>
      <c r="F224" s="15" t="n"/>
      <c r="G224" s="15" t="n"/>
      <c r="H224" s="16" t="n"/>
      <c r="I224" s="14" t="n"/>
      <c r="J224" s="17" t="n"/>
      <c r="K224" s="17">
        <f>IF(OR(H224="",J224=""),"",H224*J224)</f>
        <v/>
      </c>
      <c r="L224" s="12" t="n"/>
      <c r="M224" s="15" t="n"/>
      <c r="N224" s="15" t="n"/>
      <c r="O224" s="14" t="n"/>
      <c r="P224" s="14">
        <f>IF(OR(L224="",D224="",O224="납품완료",O224="취소"),"",IF(L224&lt;TODAY(),"지연",IF(L224-TODAY()&lt;=$L$1,"임박","")))</f>
        <v/>
      </c>
      <c r="Q224" s="14" t="n"/>
      <c r="R224" s="15" t="n"/>
      <c r="S224" s="18">
        <f>IF(F224="","",IF(COUNTIF(F$4:F224,F224)=1,MAX(S$3:S223)+1,""))</f>
        <v/>
      </c>
    </row>
    <row r="225">
      <c r="A225" s="12" t="n"/>
      <c r="B225" s="13" t="n"/>
      <c r="C225" s="14" t="n"/>
      <c r="D225" s="15" t="n"/>
      <c r="E225" s="15" t="n"/>
      <c r="F225" s="15" t="n"/>
      <c r="G225" s="15" t="n"/>
      <c r="H225" s="16" t="n"/>
      <c r="I225" s="14" t="n"/>
      <c r="J225" s="17" t="n"/>
      <c r="K225" s="17">
        <f>IF(OR(H225="",J225=""),"",H225*J225)</f>
        <v/>
      </c>
      <c r="L225" s="12" t="n"/>
      <c r="M225" s="15" t="n"/>
      <c r="N225" s="15" t="n"/>
      <c r="O225" s="14" t="n"/>
      <c r="P225" s="14">
        <f>IF(OR(L225="",D225="",O225="납품완료",O225="취소"),"",IF(L225&lt;TODAY(),"지연",IF(L225-TODAY()&lt;=$L$1,"임박","")))</f>
        <v/>
      </c>
      <c r="Q225" s="14" t="n"/>
      <c r="R225" s="15" t="n"/>
      <c r="S225" s="18">
        <f>IF(F225="","",IF(COUNTIF(F$4:F225,F225)=1,MAX(S$3:S224)+1,""))</f>
        <v/>
      </c>
    </row>
    <row r="226">
      <c r="A226" s="12" t="n"/>
      <c r="B226" s="13" t="n"/>
      <c r="C226" s="14" t="n"/>
      <c r="D226" s="15" t="n"/>
      <c r="E226" s="15" t="n"/>
      <c r="F226" s="15" t="n"/>
      <c r="G226" s="15" t="n"/>
      <c r="H226" s="16" t="n"/>
      <c r="I226" s="14" t="n"/>
      <c r="J226" s="17" t="n"/>
      <c r="K226" s="17">
        <f>IF(OR(H226="",J226=""),"",H226*J226)</f>
        <v/>
      </c>
      <c r="L226" s="12" t="n"/>
      <c r="M226" s="15" t="n"/>
      <c r="N226" s="15" t="n"/>
      <c r="O226" s="14" t="n"/>
      <c r="P226" s="14">
        <f>IF(OR(L226="",D226="",O226="납품완료",O226="취소"),"",IF(L226&lt;TODAY(),"지연",IF(L226-TODAY()&lt;=$L$1,"임박","")))</f>
        <v/>
      </c>
      <c r="Q226" s="14" t="n"/>
      <c r="R226" s="15" t="n"/>
      <c r="S226" s="18">
        <f>IF(F226="","",IF(COUNTIF(F$4:F226,F226)=1,MAX(S$3:S225)+1,""))</f>
        <v/>
      </c>
    </row>
    <row r="227">
      <c r="A227" s="12" t="n"/>
      <c r="B227" s="13" t="n"/>
      <c r="C227" s="14" t="n"/>
      <c r="D227" s="15" t="n"/>
      <c r="E227" s="15" t="n"/>
      <c r="F227" s="15" t="n"/>
      <c r="G227" s="15" t="n"/>
      <c r="H227" s="16" t="n"/>
      <c r="I227" s="14" t="n"/>
      <c r="J227" s="17" t="n"/>
      <c r="K227" s="17">
        <f>IF(OR(H227="",J227=""),"",H227*J227)</f>
        <v/>
      </c>
      <c r="L227" s="12" t="n"/>
      <c r="M227" s="15" t="n"/>
      <c r="N227" s="15" t="n"/>
      <c r="O227" s="14" t="n"/>
      <c r="P227" s="14">
        <f>IF(OR(L227="",D227="",O227="납품완료",O227="취소"),"",IF(L227&lt;TODAY(),"지연",IF(L227-TODAY()&lt;=$L$1,"임박","")))</f>
        <v/>
      </c>
      <c r="Q227" s="14" t="n"/>
      <c r="R227" s="15" t="n"/>
      <c r="S227" s="18">
        <f>IF(F227="","",IF(COUNTIF(F$4:F227,F227)=1,MAX(S$3:S226)+1,""))</f>
        <v/>
      </c>
    </row>
    <row r="228">
      <c r="A228" s="12" t="n"/>
      <c r="B228" s="13" t="n"/>
      <c r="C228" s="14" t="n"/>
      <c r="D228" s="15" t="n"/>
      <c r="E228" s="15" t="n"/>
      <c r="F228" s="15" t="n"/>
      <c r="G228" s="15" t="n"/>
      <c r="H228" s="16" t="n"/>
      <c r="I228" s="14" t="n"/>
      <c r="J228" s="17" t="n"/>
      <c r="K228" s="17">
        <f>IF(OR(H228="",J228=""),"",H228*J228)</f>
        <v/>
      </c>
      <c r="L228" s="12" t="n"/>
      <c r="M228" s="15" t="n"/>
      <c r="N228" s="15" t="n"/>
      <c r="O228" s="14" t="n"/>
      <c r="P228" s="14">
        <f>IF(OR(L228="",D228="",O228="납품완료",O228="취소"),"",IF(L228&lt;TODAY(),"지연",IF(L228-TODAY()&lt;=$L$1,"임박","")))</f>
        <v/>
      </c>
      <c r="Q228" s="14" t="n"/>
      <c r="R228" s="15" t="n"/>
      <c r="S228" s="18">
        <f>IF(F228="","",IF(COUNTIF(F$4:F228,F228)=1,MAX(S$3:S227)+1,""))</f>
        <v/>
      </c>
    </row>
    <row r="229">
      <c r="A229" s="12" t="n"/>
      <c r="B229" s="13" t="n"/>
      <c r="C229" s="14" t="n"/>
      <c r="D229" s="15" t="n"/>
      <c r="E229" s="15" t="n"/>
      <c r="F229" s="15" t="n"/>
      <c r="G229" s="15" t="n"/>
      <c r="H229" s="16" t="n"/>
      <c r="I229" s="14" t="n"/>
      <c r="J229" s="17" t="n"/>
      <c r="K229" s="17">
        <f>IF(OR(H229="",J229=""),"",H229*J229)</f>
        <v/>
      </c>
      <c r="L229" s="12" t="n"/>
      <c r="M229" s="15" t="n"/>
      <c r="N229" s="15" t="n"/>
      <c r="O229" s="14" t="n"/>
      <c r="P229" s="14">
        <f>IF(OR(L229="",D229="",O229="납품완료",O229="취소"),"",IF(L229&lt;TODAY(),"지연",IF(L229-TODAY()&lt;=$L$1,"임박","")))</f>
        <v/>
      </c>
      <c r="Q229" s="14" t="n"/>
      <c r="R229" s="15" t="n"/>
      <c r="S229" s="18">
        <f>IF(F229="","",IF(COUNTIF(F$4:F229,F229)=1,MAX(S$3:S228)+1,""))</f>
        <v/>
      </c>
    </row>
    <row r="230">
      <c r="A230" s="12" t="n"/>
      <c r="B230" s="13" t="n"/>
      <c r="C230" s="14" t="n"/>
      <c r="D230" s="15" t="n"/>
      <c r="E230" s="15" t="n"/>
      <c r="F230" s="15" t="n"/>
      <c r="G230" s="15" t="n"/>
      <c r="H230" s="16" t="n"/>
      <c r="I230" s="14" t="n"/>
      <c r="J230" s="17" t="n"/>
      <c r="K230" s="17">
        <f>IF(OR(H230="",J230=""),"",H230*J230)</f>
        <v/>
      </c>
      <c r="L230" s="12" t="n"/>
      <c r="M230" s="15" t="n"/>
      <c r="N230" s="15" t="n"/>
      <c r="O230" s="14" t="n"/>
      <c r="P230" s="14">
        <f>IF(OR(L230="",D230="",O230="납품완료",O230="취소"),"",IF(L230&lt;TODAY(),"지연",IF(L230-TODAY()&lt;=$L$1,"임박","")))</f>
        <v/>
      </c>
      <c r="Q230" s="14" t="n"/>
      <c r="R230" s="15" t="n"/>
      <c r="S230" s="18">
        <f>IF(F230="","",IF(COUNTIF(F$4:F230,F230)=1,MAX(S$3:S229)+1,""))</f>
        <v/>
      </c>
    </row>
    <row r="231">
      <c r="A231" s="12" t="n"/>
      <c r="B231" s="13" t="n"/>
      <c r="C231" s="14" t="n"/>
      <c r="D231" s="15" t="n"/>
      <c r="E231" s="15" t="n"/>
      <c r="F231" s="15" t="n"/>
      <c r="G231" s="15" t="n"/>
      <c r="H231" s="16" t="n"/>
      <c r="I231" s="14" t="n"/>
      <c r="J231" s="17" t="n"/>
      <c r="K231" s="17">
        <f>IF(OR(H231="",J231=""),"",H231*J231)</f>
        <v/>
      </c>
      <c r="L231" s="12" t="n"/>
      <c r="M231" s="15" t="n"/>
      <c r="N231" s="15" t="n"/>
      <c r="O231" s="14" t="n"/>
      <c r="P231" s="14">
        <f>IF(OR(L231="",D231="",O231="납품완료",O231="취소"),"",IF(L231&lt;TODAY(),"지연",IF(L231-TODAY()&lt;=$L$1,"임박","")))</f>
        <v/>
      </c>
      <c r="Q231" s="14" t="n"/>
      <c r="R231" s="15" t="n"/>
      <c r="S231" s="18">
        <f>IF(F231="","",IF(COUNTIF(F$4:F231,F231)=1,MAX(S$3:S230)+1,""))</f>
        <v/>
      </c>
    </row>
    <row r="232">
      <c r="A232" s="12" t="n"/>
      <c r="B232" s="13" t="n"/>
      <c r="C232" s="14" t="n"/>
      <c r="D232" s="15" t="n"/>
      <c r="E232" s="15" t="n"/>
      <c r="F232" s="15" t="n"/>
      <c r="G232" s="15" t="n"/>
      <c r="H232" s="16" t="n"/>
      <c r="I232" s="14" t="n"/>
      <c r="J232" s="17" t="n"/>
      <c r="K232" s="17">
        <f>IF(OR(H232="",J232=""),"",H232*J232)</f>
        <v/>
      </c>
      <c r="L232" s="12" t="n"/>
      <c r="M232" s="15" t="n"/>
      <c r="N232" s="15" t="n"/>
      <c r="O232" s="14" t="n"/>
      <c r="P232" s="14">
        <f>IF(OR(L232="",D232="",O232="납품완료",O232="취소"),"",IF(L232&lt;TODAY(),"지연",IF(L232-TODAY()&lt;=$L$1,"임박","")))</f>
        <v/>
      </c>
      <c r="Q232" s="14" t="n"/>
      <c r="R232" s="15" t="n"/>
      <c r="S232" s="18">
        <f>IF(F232="","",IF(COUNTIF(F$4:F232,F232)=1,MAX(S$3:S231)+1,""))</f>
        <v/>
      </c>
    </row>
    <row r="233">
      <c r="A233" s="12" t="n"/>
      <c r="B233" s="13" t="n"/>
      <c r="C233" s="14" t="n"/>
      <c r="D233" s="15" t="n"/>
      <c r="E233" s="15" t="n"/>
      <c r="F233" s="15" t="n"/>
      <c r="G233" s="15" t="n"/>
      <c r="H233" s="16" t="n"/>
      <c r="I233" s="14" t="n"/>
      <c r="J233" s="17" t="n"/>
      <c r="K233" s="17">
        <f>IF(OR(H233="",J233=""),"",H233*J233)</f>
        <v/>
      </c>
      <c r="L233" s="12" t="n"/>
      <c r="M233" s="15" t="n"/>
      <c r="N233" s="15" t="n"/>
      <c r="O233" s="14" t="n"/>
      <c r="P233" s="14">
        <f>IF(OR(L233="",D233="",O233="납품완료",O233="취소"),"",IF(L233&lt;TODAY(),"지연",IF(L233-TODAY()&lt;=$L$1,"임박","")))</f>
        <v/>
      </c>
      <c r="Q233" s="14" t="n"/>
      <c r="R233" s="15" t="n"/>
      <c r="S233" s="18">
        <f>IF(F233="","",IF(COUNTIF(F$4:F233,F233)=1,MAX(S$3:S232)+1,""))</f>
        <v/>
      </c>
    </row>
    <row r="234">
      <c r="A234" s="12" t="n"/>
      <c r="B234" s="13" t="n"/>
      <c r="C234" s="14" t="n"/>
      <c r="D234" s="15" t="n"/>
      <c r="E234" s="15" t="n"/>
      <c r="F234" s="15" t="n"/>
      <c r="G234" s="15" t="n"/>
      <c r="H234" s="16" t="n"/>
      <c r="I234" s="14" t="n"/>
      <c r="J234" s="17" t="n"/>
      <c r="K234" s="17">
        <f>IF(OR(H234="",J234=""),"",H234*J234)</f>
        <v/>
      </c>
      <c r="L234" s="12" t="n"/>
      <c r="M234" s="15" t="n"/>
      <c r="N234" s="15" t="n"/>
      <c r="O234" s="14" t="n"/>
      <c r="P234" s="14">
        <f>IF(OR(L234="",D234="",O234="납품완료",O234="취소"),"",IF(L234&lt;TODAY(),"지연",IF(L234-TODAY()&lt;=$L$1,"임박","")))</f>
        <v/>
      </c>
      <c r="Q234" s="14" t="n"/>
      <c r="R234" s="15" t="n"/>
      <c r="S234" s="18">
        <f>IF(F234="","",IF(COUNTIF(F$4:F234,F234)=1,MAX(S$3:S233)+1,""))</f>
        <v/>
      </c>
    </row>
    <row r="235">
      <c r="A235" s="12" t="n"/>
      <c r="B235" s="13" t="n"/>
      <c r="C235" s="14" t="n"/>
      <c r="D235" s="15" t="n"/>
      <c r="E235" s="15" t="n"/>
      <c r="F235" s="15" t="n"/>
      <c r="G235" s="15" t="n"/>
      <c r="H235" s="16" t="n"/>
      <c r="I235" s="14" t="n"/>
      <c r="J235" s="17" t="n"/>
      <c r="K235" s="17">
        <f>IF(OR(H235="",J235=""),"",H235*J235)</f>
        <v/>
      </c>
      <c r="L235" s="12" t="n"/>
      <c r="M235" s="15" t="n"/>
      <c r="N235" s="15" t="n"/>
      <c r="O235" s="14" t="n"/>
      <c r="P235" s="14">
        <f>IF(OR(L235="",D235="",O235="납품완료",O235="취소"),"",IF(L235&lt;TODAY(),"지연",IF(L235-TODAY()&lt;=$L$1,"임박","")))</f>
        <v/>
      </c>
      <c r="Q235" s="14" t="n"/>
      <c r="R235" s="15" t="n"/>
      <c r="S235" s="18">
        <f>IF(F235="","",IF(COUNTIF(F$4:F235,F235)=1,MAX(S$3:S234)+1,""))</f>
        <v/>
      </c>
    </row>
    <row r="236">
      <c r="A236" s="12" t="n"/>
      <c r="B236" s="13" t="n"/>
      <c r="C236" s="14" t="n"/>
      <c r="D236" s="15" t="n"/>
      <c r="E236" s="15" t="n"/>
      <c r="F236" s="15" t="n"/>
      <c r="G236" s="15" t="n"/>
      <c r="H236" s="16" t="n"/>
      <c r="I236" s="14" t="n"/>
      <c r="J236" s="17" t="n"/>
      <c r="K236" s="17">
        <f>IF(OR(H236="",J236=""),"",H236*J236)</f>
        <v/>
      </c>
      <c r="L236" s="12" t="n"/>
      <c r="M236" s="15" t="n"/>
      <c r="N236" s="15" t="n"/>
      <c r="O236" s="14" t="n"/>
      <c r="P236" s="14">
        <f>IF(OR(L236="",D236="",O236="납품완료",O236="취소"),"",IF(L236&lt;TODAY(),"지연",IF(L236-TODAY()&lt;=$L$1,"임박","")))</f>
        <v/>
      </c>
      <c r="Q236" s="14" t="n"/>
      <c r="R236" s="15" t="n"/>
      <c r="S236" s="18">
        <f>IF(F236="","",IF(COUNTIF(F$4:F236,F236)=1,MAX(S$3:S235)+1,""))</f>
        <v/>
      </c>
    </row>
    <row r="237">
      <c r="A237" s="12" t="n"/>
      <c r="B237" s="13" t="n"/>
      <c r="C237" s="14" t="n"/>
      <c r="D237" s="15" t="n"/>
      <c r="E237" s="15" t="n"/>
      <c r="F237" s="15" t="n"/>
      <c r="G237" s="15" t="n"/>
      <c r="H237" s="16" t="n"/>
      <c r="I237" s="14" t="n"/>
      <c r="J237" s="17" t="n"/>
      <c r="K237" s="17">
        <f>IF(OR(H237="",J237=""),"",H237*J237)</f>
        <v/>
      </c>
      <c r="L237" s="12" t="n"/>
      <c r="M237" s="15" t="n"/>
      <c r="N237" s="15" t="n"/>
      <c r="O237" s="14" t="n"/>
      <c r="P237" s="14">
        <f>IF(OR(L237="",D237="",O237="납품완료",O237="취소"),"",IF(L237&lt;TODAY(),"지연",IF(L237-TODAY()&lt;=$L$1,"임박","")))</f>
        <v/>
      </c>
      <c r="Q237" s="14" t="n"/>
      <c r="R237" s="15" t="n"/>
      <c r="S237" s="18">
        <f>IF(F237="","",IF(COUNTIF(F$4:F237,F237)=1,MAX(S$3:S236)+1,""))</f>
        <v/>
      </c>
    </row>
    <row r="238">
      <c r="A238" s="12" t="n"/>
      <c r="B238" s="13" t="n"/>
      <c r="C238" s="14" t="n"/>
      <c r="D238" s="15" t="n"/>
      <c r="E238" s="15" t="n"/>
      <c r="F238" s="15" t="n"/>
      <c r="G238" s="15" t="n"/>
      <c r="H238" s="16" t="n"/>
      <c r="I238" s="14" t="n"/>
      <c r="J238" s="17" t="n"/>
      <c r="K238" s="17">
        <f>IF(OR(H238="",J238=""),"",H238*J238)</f>
        <v/>
      </c>
      <c r="L238" s="12" t="n"/>
      <c r="M238" s="15" t="n"/>
      <c r="N238" s="15" t="n"/>
      <c r="O238" s="14" t="n"/>
      <c r="P238" s="14">
        <f>IF(OR(L238="",D238="",O238="납품완료",O238="취소"),"",IF(L238&lt;TODAY(),"지연",IF(L238-TODAY()&lt;=$L$1,"임박","")))</f>
        <v/>
      </c>
      <c r="Q238" s="14" t="n"/>
      <c r="R238" s="15" t="n"/>
      <c r="S238" s="18">
        <f>IF(F238="","",IF(COUNTIF(F$4:F238,F238)=1,MAX(S$3:S237)+1,""))</f>
        <v/>
      </c>
    </row>
    <row r="239">
      <c r="A239" s="12" t="n"/>
      <c r="B239" s="13" t="n"/>
      <c r="C239" s="14" t="n"/>
      <c r="D239" s="15" t="n"/>
      <c r="E239" s="15" t="n"/>
      <c r="F239" s="15" t="n"/>
      <c r="G239" s="15" t="n"/>
      <c r="H239" s="16" t="n"/>
      <c r="I239" s="14" t="n"/>
      <c r="J239" s="17" t="n"/>
      <c r="K239" s="17">
        <f>IF(OR(H239="",J239=""),"",H239*J239)</f>
        <v/>
      </c>
      <c r="L239" s="12" t="n"/>
      <c r="M239" s="15" t="n"/>
      <c r="N239" s="15" t="n"/>
      <c r="O239" s="14" t="n"/>
      <c r="P239" s="14">
        <f>IF(OR(L239="",D239="",O239="납품완료",O239="취소"),"",IF(L239&lt;TODAY(),"지연",IF(L239-TODAY()&lt;=$L$1,"임박","")))</f>
        <v/>
      </c>
      <c r="Q239" s="14" t="n"/>
      <c r="R239" s="15" t="n"/>
      <c r="S239" s="18">
        <f>IF(F239="","",IF(COUNTIF(F$4:F239,F239)=1,MAX(S$3:S238)+1,""))</f>
        <v/>
      </c>
    </row>
    <row r="240">
      <c r="A240" s="12" t="n"/>
      <c r="B240" s="13" t="n"/>
      <c r="C240" s="14" t="n"/>
      <c r="D240" s="15" t="n"/>
      <c r="E240" s="15" t="n"/>
      <c r="F240" s="15" t="n"/>
      <c r="G240" s="15" t="n"/>
      <c r="H240" s="16" t="n"/>
      <c r="I240" s="14" t="n"/>
      <c r="J240" s="17" t="n"/>
      <c r="K240" s="17">
        <f>IF(OR(H240="",J240=""),"",H240*J240)</f>
        <v/>
      </c>
      <c r="L240" s="12" t="n"/>
      <c r="M240" s="15" t="n"/>
      <c r="N240" s="15" t="n"/>
      <c r="O240" s="14" t="n"/>
      <c r="P240" s="14">
        <f>IF(OR(L240="",D240="",O240="납품완료",O240="취소"),"",IF(L240&lt;TODAY(),"지연",IF(L240-TODAY()&lt;=$L$1,"임박","")))</f>
        <v/>
      </c>
      <c r="Q240" s="14" t="n"/>
      <c r="R240" s="15" t="n"/>
      <c r="S240" s="18">
        <f>IF(F240="","",IF(COUNTIF(F$4:F240,F240)=1,MAX(S$3:S239)+1,""))</f>
        <v/>
      </c>
    </row>
    <row r="241">
      <c r="A241" s="12" t="n"/>
      <c r="B241" s="13" t="n"/>
      <c r="C241" s="14" t="n"/>
      <c r="D241" s="15" t="n"/>
      <c r="E241" s="15" t="n"/>
      <c r="F241" s="15" t="n"/>
      <c r="G241" s="15" t="n"/>
      <c r="H241" s="16" t="n"/>
      <c r="I241" s="14" t="n"/>
      <c r="J241" s="17" t="n"/>
      <c r="K241" s="17">
        <f>IF(OR(H241="",J241=""),"",H241*J241)</f>
        <v/>
      </c>
      <c r="L241" s="12" t="n"/>
      <c r="M241" s="15" t="n"/>
      <c r="N241" s="15" t="n"/>
      <c r="O241" s="14" t="n"/>
      <c r="P241" s="14">
        <f>IF(OR(L241="",D241="",O241="납품완료",O241="취소"),"",IF(L241&lt;TODAY(),"지연",IF(L241-TODAY()&lt;=$L$1,"임박","")))</f>
        <v/>
      </c>
      <c r="Q241" s="14" t="n"/>
      <c r="R241" s="15" t="n"/>
      <c r="S241" s="18">
        <f>IF(F241="","",IF(COUNTIF(F$4:F241,F241)=1,MAX(S$3:S240)+1,""))</f>
        <v/>
      </c>
    </row>
    <row r="242">
      <c r="A242" s="12" t="n"/>
      <c r="B242" s="13" t="n"/>
      <c r="C242" s="14" t="n"/>
      <c r="D242" s="15" t="n"/>
      <c r="E242" s="15" t="n"/>
      <c r="F242" s="15" t="n"/>
      <c r="G242" s="15" t="n"/>
      <c r="H242" s="16" t="n"/>
      <c r="I242" s="14" t="n"/>
      <c r="J242" s="17" t="n"/>
      <c r="K242" s="17">
        <f>IF(OR(H242="",J242=""),"",H242*J242)</f>
        <v/>
      </c>
      <c r="L242" s="12" t="n"/>
      <c r="M242" s="15" t="n"/>
      <c r="N242" s="15" t="n"/>
      <c r="O242" s="14" t="n"/>
      <c r="P242" s="14">
        <f>IF(OR(L242="",D242="",O242="납품완료",O242="취소"),"",IF(L242&lt;TODAY(),"지연",IF(L242-TODAY()&lt;=$L$1,"임박","")))</f>
        <v/>
      </c>
      <c r="Q242" s="14" t="n"/>
      <c r="R242" s="15" t="n"/>
      <c r="S242" s="18">
        <f>IF(F242="","",IF(COUNTIF(F$4:F242,F242)=1,MAX(S$3:S241)+1,""))</f>
        <v/>
      </c>
    </row>
    <row r="243">
      <c r="A243" s="12" t="n"/>
      <c r="B243" s="13" t="n"/>
      <c r="C243" s="14" t="n"/>
      <c r="D243" s="15" t="n"/>
      <c r="E243" s="15" t="n"/>
      <c r="F243" s="15" t="n"/>
      <c r="G243" s="15" t="n"/>
      <c r="H243" s="16" t="n"/>
      <c r="I243" s="14" t="n"/>
      <c r="J243" s="17" t="n"/>
      <c r="K243" s="17">
        <f>IF(OR(H243="",J243=""),"",H243*J243)</f>
        <v/>
      </c>
      <c r="L243" s="12" t="n"/>
      <c r="M243" s="15" t="n"/>
      <c r="N243" s="15" t="n"/>
      <c r="O243" s="14" t="n"/>
      <c r="P243" s="14">
        <f>IF(OR(L243="",D243="",O243="납품완료",O243="취소"),"",IF(L243&lt;TODAY(),"지연",IF(L243-TODAY()&lt;=$L$1,"임박","")))</f>
        <v/>
      </c>
      <c r="Q243" s="14" t="n"/>
      <c r="R243" s="15" t="n"/>
      <c r="S243" s="18">
        <f>IF(F243="","",IF(COUNTIF(F$4:F243,F243)=1,MAX(S$3:S242)+1,""))</f>
        <v/>
      </c>
    </row>
    <row r="244">
      <c r="A244" s="12" t="n"/>
      <c r="B244" s="13" t="n"/>
      <c r="C244" s="14" t="n"/>
      <c r="D244" s="15" t="n"/>
      <c r="E244" s="15" t="n"/>
      <c r="F244" s="15" t="n"/>
      <c r="G244" s="15" t="n"/>
      <c r="H244" s="16" t="n"/>
      <c r="I244" s="14" t="n"/>
      <c r="J244" s="17" t="n"/>
      <c r="K244" s="17">
        <f>IF(OR(H244="",J244=""),"",H244*J244)</f>
        <v/>
      </c>
      <c r="L244" s="12" t="n"/>
      <c r="M244" s="15" t="n"/>
      <c r="N244" s="15" t="n"/>
      <c r="O244" s="14" t="n"/>
      <c r="P244" s="14">
        <f>IF(OR(L244="",D244="",O244="납품완료",O244="취소"),"",IF(L244&lt;TODAY(),"지연",IF(L244-TODAY()&lt;=$L$1,"임박","")))</f>
        <v/>
      </c>
      <c r="Q244" s="14" t="n"/>
      <c r="R244" s="15" t="n"/>
      <c r="S244" s="18">
        <f>IF(F244="","",IF(COUNTIF(F$4:F244,F244)=1,MAX(S$3:S243)+1,""))</f>
        <v/>
      </c>
    </row>
    <row r="245">
      <c r="A245" s="12" t="n"/>
      <c r="B245" s="13" t="n"/>
      <c r="C245" s="14" t="n"/>
      <c r="D245" s="15" t="n"/>
      <c r="E245" s="15" t="n"/>
      <c r="F245" s="15" t="n"/>
      <c r="G245" s="15" t="n"/>
      <c r="H245" s="16" t="n"/>
      <c r="I245" s="14" t="n"/>
      <c r="J245" s="17" t="n"/>
      <c r="K245" s="17">
        <f>IF(OR(H245="",J245=""),"",H245*J245)</f>
        <v/>
      </c>
      <c r="L245" s="12" t="n"/>
      <c r="M245" s="15" t="n"/>
      <c r="N245" s="15" t="n"/>
      <c r="O245" s="14" t="n"/>
      <c r="P245" s="14">
        <f>IF(OR(L245="",D245="",O245="납품완료",O245="취소"),"",IF(L245&lt;TODAY(),"지연",IF(L245-TODAY()&lt;=$L$1,"임박","")))</f>
        <v/>
      </c>
      <c r="Q245" s="14" t="n"/>
      <c r="R245" s="15" t="n"/>
      <c r="S245" s="18">
        <f>IF(F245="","",IF(COUNTIF(F$4:F245,F245)=1,MAX(S$3:S244)+1,""))</f>
        <v/>
      </c>
    </row>
    <row r="246">
      <c r="A246" s="12" t="n"/>
      <c r="B246" s="13" t="n"/>
      <c r="C246" s="14" t="n"/>
      <c r="D246" s="15" t="n"/>
      <c r="E246" s="15" t="n"/>
      <c r="F246" s="15" t="n"/>
      <c r="G246" s="15" t="n"/>
      <c r="H246" s="16" t="n"/>
      <c r="I246" s="14" t="n"/>
      <c r="J246" s="17" t="n"/>
      <c r="K246" s="17">
        <f>IF(OR(H246="",J246=""),"",H246*J246)</f>
        <v/>
      </c>
      <c r="L246" s="12" t="n"/>
      <c r="M246" s="15" t="n"/>
      <c r="N246" s="15" t="n"/>
      <c r="O246" s="14" t="n"/>
      <c r="P246" s="14">
        <f>IF(OR(L246="",D246="",O246="납품완료",O246="취소"),"",IF(L246&lt;TODAY(),"지연",IF(L246-TODAY()&lt;=$L$1,"임박","")))</f>
        <v/>
      </c>
      <c r="Q246" s="14" t="n"/>
      <c r="R246" s="15" t="n"/>
      <c r="S246" s="18">
        <f>IF(F246="","",IF(COUNTIF(F$4:F246,F246)=1,MAX(S$3:S245)+1,""))</f>
        <v/>
      </c>
    </row>
    <row r="247">
      <c r="A247" s="12" t="n"/>
      <c r="B247" s="13" t="n"/>
      <c r="C247" s="14" t="n"/>
      <c r="D247" s="15" t="n"/>
      <c r="E247" s="15" t="n"/>
      <c r="F247" s="15" t="n"/>
      <c r="G247" s="15" t="n"/>
      <c r="H247" s="16" t="n"/>
      <c r="I247" s="14" t="n"/>
      <c r="J247" s="17" t="n"/>
      <c r="K247" s="17">
        <f>IF(OR(H247="",J247=""),"",H247*J247)</f>
        <v/>
      </c>
      <c r="L247" s="12" t="n"/>
      <c r="M247" s="15" t="n"/>
      <c r="N247" s="15" t="n"/>
      <c r="O247" s="14" t="n"/>
      <c r="P247" s="14">
        <f>IF(OR(L247="",D247="",O247="납품완료",O247="취소"),"",IF(L247&lt;TODAY(),"지연",IF(L247-TODAY()&lt;=$L$1,"임박","")))</f>
        <v/>
      </c>
      <c r="Q247" s="14" t="n"/>
      <c r="R247" s="15" t="n"/>
      <c r="S247" s="18">
        <f>IF(F247="","",IF(COUNTIF(F$4:F247,F247)=1,MAX(S$3:S246)+1,""))</f>
        <v/>
      </c>
    </row>
    <row r="248">
      <c r="A248" s="12" t="n"/>
      <c r="B248" s="13" t="n"/>
      <c r="C248" s="14" t="n"/>
      <c r="D248" s="15" t="n"/>
      <c r="E248" s="15" t="n"/>
      <c r="F248" s="15" t="n"/>
      <c r="G248" s="15" t="n"/>
      <c r="H248" s="16" t="n"/>
      <c r="I248" s="14" t="n"/>
      <c r="J248" s="17" t="n"/>
      <c r="K248" s="17">
        <f>IF(OR(H248="",J248=""),"",H248*J248)</f>
        <v/>
      </c>
      <c r="L248" s="12" t="n"/>
      <c r="M248" s="15" t="n"/>
      <c r="N248" s="15" t="n"/>
      <c r="O248" s="14" t="n"/>
      <c r="P248" s="14">
        <f>IF(OR(L248="",D248="",O248="납품완료",O248="취소"),"",IF(L248&lt;TODAY(),"지연",IF(L248-TODAY()&lt;=$L$1,"임박","")))</f>
        <v/>
      </c>
      <c r="Q248" s="14" t="n"/>
      <c r="R248" s="15" t="n"/>
      <c r="S248" s="18">
        <f>IF(F248="","",IF(COUNTIF(F$4:F248,F248)=1,MAX(S$3:S247)+1,""))</f>
        <v/>
      </c>
    </row>
    <row r="249">
      <c r="A249" s="12" t="n"/>
      <c r="B249" s="13" t="n"/>
      <c r="C249" s="14" t="n"/>
      <c r="D249" s="15" t="n"/>
      <c r="E249" s="15" t="n"/>
      <c r="F249" s="15" t="n"/>
      <c r="G249" s="15" t="n"/>
      <c r="H249" s="16" t="n"/>
      <c r="I249" s="14" t="n"/>
      <c r="J249" s="17" t="n"/>
      <c r="K249" s="17">
        <f>IF(OR(H249="",J249=""),"",H249*J249)</f>
        <v/>
      </c>
      <c r="L249" s="12" t="n"/>
      <c r="M249" s="15" t="n"/>
      <c r="N249" s="15" t="n"/>
      <c r="O249" s="14" t="n"/>
      <c r="P249" s="14">
        <f>IF(OR(L249="",D249="",O249="납품완료",O249="취소"),"",IF(L249&lt;TODAY(),"지연",IF(L249-TODAY()&lt;=$L$1,"임박","")))</f>
        <v/>
      </c>
      <c r="Q249" s="14" t="n"/>
      <c r="R249" s="15" t="n"/>
      <c r="S249" s="18">
        <f>IF(F249="","",IF(COUNTIF(F$4:F249,F249)=1,MAX(S$3:S248)+1,""))</f>
        <v/>
      </c>
    </row>
    <row r="250">
      <c r="A250" s="12" t="n"/>
      <c r="B250" s="13" t="n"/>
      <c r="C250" s="14" t="n"/>
      <c r="D250" s="15" t="n"/>
      <c r="E250" s="15" t="n"/>
      <c r="F250" s="15" t="n"/>
      <c r="G250" s="15" t="n"/>
      <c r="H250" s="16" t="n"/>
      <c r="I250" s="14" t="n"/>
      <c r="J250" s="17" t="n"/>
      <c r="K250" s="17">
        <f>IF(OR(H250="",J250=""),"",H250*J250)</f>
        <v/>
      </c>
      <c r="L250" s="12" t="n"/>
      <c r="M250" s="15" t="n"/>
      <c r="N250" s="15" t="n"/>
      <c r="O250" s="14" t="n"/>
      <c r="P250" s="14">
        <f>IF(OR(L250="",D250="",O250="납품완료",O250="취소"),"",IF(L250&lt;TODAY(),"지연",IF(L250-TODAY()&lt;=$L$1,"임박","")))</f>
        <v/>
      </c>
      <c r="Q250" s="14" t="n"/>
      <c r="R250" s="15" t="n"/>
      <c r="S250" s="18">
        <f>IF(F250="","",IF(COUNTIF(F$4:F250,F250)=1,MAX(S$3:S249)+1,""))</f>
        <v/>
      </c>
    </row>
    <row r="251">
      <c r="A251" s="12" t="n"/>
      <c r="B251" s="13" t="n"/>
      <c r="C251" s="14" t="n"/>
      <c r="D251" s="15" t="n"/>
      <c r="E251" s="15" t="n"/>
      <c r="F251" s="15" t="n"/>
      <c r="G251" s="15" t="n"/>
      <c r="H251" s="16" t="n"/>
      <c r="I251" s="14" t="n"/>
      <c r="J251" s="17" t="n"/>
      <c r="K251" s="17">
        <f>IF(OR(H251="",J251=""),"",H251*J251)</f>
        <v/>
      </c>
      <c r="L251" s="12" t="n"/>
      <c r="M251" s="15" t="n"/>
      <c r="N251" s="15" t="n"/>
      <c r="O251" s="14" t="n"/>
      <c r="P251" s="14">
        <f>IF(OR(L251="",D251="",O251="납품완료",O251="취소"),"",IF(L251&lt;TODAY(),"지연",IF(L251-TODAY()&lt;=$L$1,"임박","")))</f>
        <v/>
      </c>
      <c r="Q251" s="14" t="n"/>
      <c r="R251" s="15" t="n"/>
      <c r="S251" s="18">
        <f>IF(F251="","",IF(COUNTIF(F$4:F251,F251)=1,MAX(S$3:S250)+1,""))</f>
        <v/>
      </c>
    </row>
    <row r="252">
      <c r="A252" s="12" t="n"/>
      <c r="B252" s="13" t="n"/>
      <c r="C252" s="14" t="n"/>
      <c r="D252" s="15" t="n"/>
      <c r="E252" s="15" t="n"/>
      <c r="F252" s="15" t="n"/>
      <c r="G252" s="15" t="n"/>
      <c r="H252" s="16" t="n"/>
      <c r="I252" s="14" t="n"/>
      <c r="J252" s="17" t="n"/>
      <c r="K252" s="17">
        <f>IF(OR(H252="",J252=""),"",H252*J252)</f>
        <v/>
      </c>
      <c r="L252" s="12" t="n"/>
      <c r="M252" s="15" t="n"/>
      <c r="N252" s="15" t="n"/>
      <c r="O252" s="14" t="n"/>
      <c r="P252" s="14">
        <f>IF(OR(L252="",D252="",O252="납품완료",O252="취소"),"",IF(L252&lt;TODAY(),"지연",IF(L252-TODAY()&lt;=$L$1,"임박","")))</f>
        <v/>
      </c>
      <c r="Q252" s="14" t="n"/>
      <c r="R252" s="15" t="n"/>
      <c r="S252" s="18">
        <f>IF(F252="","",IF(COUNTIF(F$4:F252,F252)=1,MAX(S$3:S251)+1,""))</f>
        <v/>
      </c>
    </row>
    <row r="253">
      <c r="A253" s="12" t="n"/>
      <c r="B253" s="13" t="n"/>
      <c r="C253" s="14" t="n"/>
      <c r="D253" s="15" t="n"/>
      <c r="E253" s="15" t="n"/>
      <c r="F253" s="15" t="n"/>
      <c r="G253" s="15" t="n"/>
      <c r="H253" s="16" t="n"/>
      <c r="I253" s="14" t="n"/>
      <c r="J253" s="17" t="n"/>
      <c r="K253" s="17">
        <f>IF(OR(H253="",J253=""),"",H253*J253)</f>
        <v/>
      </c>
      <c r="L253" s="12" t="n"/>
      <c r="M253" s="15" t="n"/>
      <c r="N253" s="15" t="n"/>
      <c r="O253" s="14" t="n"/>
      <c r="P253" s="14">
        <f>IF(OR(L253="",D253="",O253="납품완료",O253="취소"),"",IF(L253&lt;TODAY(),"지연",IF(L253-TODAY()&lt;=$L$1,"임박","")))</f>
        <v/>
      </c>
      <c r="Q253" s="14" t="n"/>
      <c r="R253" s="15" t="n"/>
      <c r="S253" s="18">
        <f>IF(F253="","",IF(COUNTIF(F$4:F253,F253)=1,MAX(S$3:S252)+1,""))</f>
        <v/>
      </c>
    </row>
    <row r="254">
      <c r="A254" s="12" t="n"/>
      <c r="B254" s="13" t="n"/>
      <c r="C254" s="14" t="n"/>
      <c r="D254" s="15" t="n"/>
      <c r="E254" s="15" t="n"/>
      <c r="F254" s="15" t="n"/>
      <c r="G254" s="15" t="n"/>
      <c r="H254" s="16" t="n"/>
      <c r="I254" s="14" t="n"/>
      <c r="J254" s="17" t="n"/>
      <c r="K254" s="17">
        <f>IF(OR(H254="",J254=""),"",H254*J254)</f>
        <v/>
      </c>
      <c r="L254" s="12" t="n"/>
      <c r="M254" s="15" t="n"/>
      <c r="N254" s="15" t="n"/>
      <c r="O254" s="14" t="n"/>
      <c r="P254" s="14">
        <f>IF(OR(L254="",D254="",O254="납품완료",O254="취소"),"",IF(L254&lt;TODAY(),"지연",IF(L254-TODAY()&lt;=$L$1,"임박","")))</f>
        <v/>
      </c>
      <c r="Q254" s="14" t="n"/>
      <c r="R254" s="15" t="n"/>
      <c r="S254" s="18">
        <f>IF(F254="","",IF(COUNTIF(F$4:F254,F254)=1,MAX(S$3:S253)+1,""))</f>
        <v/>
      </c>
    </row>
    <row r="255">
      <c r="A255" s="12" t="n"/>
      <c r="B255" s="13" t="n"/>
      <c r="C255" s="14" t="n"/>
      <c r="D255" s="15" t="n"/>
      <c r="E255" s="15" t="n"/>
      <c r="F255" s="15" t="n"/>
      <c r="G255" s="15" t="n"/>
      <c r="H255" s="16" t="n"/>
      <c r="I255" s="14" t="n"/>
      <c r="J255" s="17" t="n"/>
      <c r="K255" s="17">
        <f>IF(OR(H255="",J255=""),"",H255*J255)</f>
        <v/>
      </c>
      <c r="L255" s="12" t="n"/>
      <c r="M255" s="15" t="n"/>
      <c r="N255" s="15" t="n"/>
      <c r="O255" s="14" t="n"/>
      <c r="P255" s="14">
        <f>IF(OR(L255="",D255="",O255="납품완료",O255="취소"),"",IF(L255&lt;TODAY(),"지연",IF(L255-TODAY()&lt;=$L$1,"임박","")))</f>
        <v/>
      </c>
      <c r="Q255" s="14" t="n"/>
      <c r="R255" s="15" t="n"/>
      <c r="S255" s="18">
        <f>IF(F255="","",IF(COUNTIF(F$4:F255,F255)=1,MAX(S$3:S254)+1,""))</f>
        <v/>
      </c>
    </row>
    <row r="256">
      <c r="A256" s="12" t="n"/>
      <c r="B256" s="13" t="n"/>
      <c r="C256" s="14" t="n"/>
      <c r="D256" s="15" t="n"/>
      <c r="E256" s="15" t="n"/>
      <c r="F256" s="15" t="n"/>
      <c r="G256" s="15" t="n"/>
      <c r="H256" s="16" t="n"/>
      <c r="I256" s="14" t="n"/>
      <c r="J256" s="17" t="n"/>
      <c r="K256" s="17">
        <f>IF(OR(H256="",J256=""),"",H256*J256)</f>
        <v/>
      </c>
      <c r="L256" s="12" t="n"/>
      <c r="M256" s="15" t="n"/>
      <c r="N256" s="15" t="n"/>
      <c r="O256" s="14" t="n"/>
      <c r="P256" s="14">
        <f>IF(OR(L256="",D256="",O256="납품완료",O256="취소"),"",IF(L256&lt;TODAY(),"지연",IF(L256-TODAY()&lt;=$L$1,"임박","")))</f>
        <v/>
      </c>
      <c r="Q256" s="14" t="n"/>
      <c r="R256" s="15" t="n"/>
      <c r="S256" s="18">
        <f>IF(F256="","",IF(COUNTIF(F$4:F256,F256)=1,MAX(S$3:S255)+1,""))</f>
        <v/>
      </c>
    </row>
    <row r="257">
      <c r="A257" s="12" t="n"/>
      <c r="B257" s="13" t="n"/>
      <c r="C257" s="14" t="n"/>
      <c r="D257" s="15" t="n"/>
      <c r="E257" s="15" t="n"/>
      <c r="F257" s="15" t="n"/>
      <c r="G257" s="15" t="n"/>
      <c r="H257" s="16" t="n"/>
      <c r="I257" s="14" t="n"/>
      <c r="J257" s="17" t="n"/>
      <c r="K257" s="17">
        <f>IF(OR(H257="",J257=""),"",H257*J257)</f>
        <v/>
      </c>
      <c r="L257" s="12" t="n"/>
      <c r="M257" s="15" t="n"/>
      <c r="N257" s="15" t="n"/>
      <c r="O257" s="14" t="n"/>
      <c r="P257" s="14">
        <f>IF(OR(L257="",D257="",O257="납품완료",O257="취소"),"",IF(L257&lt;TODAY(),"지연",IF(L257-TODAY()&lt;=$L$1,"임박","")))</f>
        <v/>
      </c>
      <c r="Q257" s="14" t="n"/>
      <c r="R257" s="15" t="n"/>
      <c r="S257" s="18">
        <f>IF(F257="","",IF(COUNTIF(F$4:F257,F257)=1,MAX(S$3:S256)+1,""))</f>
        <v/>
      </c>
    </row>
    <row r="258">
      <c r="A258" s="12" t="n"/>
      <c r="B258" s="13" t="n"/>
      <c r="C258" s="14" t="n"/>
      <c r="D258" s="15" t="n"/>
      <c r="E258" s="15" t="n"/>
      <c r="F258" s="15" t="n"/>
      <c r="G258" s="15" t="n"/>
      <c r="H258" s="16" t="n"/>
      <c r="I258" s="14" t="n"/>
      <c r="J258" s="17" t="n"/>
      <c r="K258" s="17">
        <f>IF(OR(H258="",J258=""),"",H258*J258)</f>
        <v/>
      </c>
      <c r="L258" s="12" t="n"/>
      <c r="M258" s="15" t="n"/>
      <c r="N258" s="15" t="n"/>
      <c r="O258" s="14" t="n"/>
      <c r="P258" s="14">
        <f>IF(OR(L258="",D258="",O258="납품완료",O258="취소"),"",IF(L258&lt;TODAY(),"지연",IF(L258-TODAY()&lt;=$L$1,"임박","")))</f>
        <v/>
      </c>
      <c r="Q258" s="14" t="n"/>
      <c r="R258" s="15" t="n"/>
      <c r="S258" s="18">
        <f>IF(F258="","",IF(COUNTIF(F$4:F258,F258)=1,MAX(S$3:S257)+1,""))</f>
        <v/>
      </c>
    </row>
    <row r="259">
      <c r="A259" s="12" t="n"/>
      <c r="B259" s="13" t="n"/>
      <c r="C259" s="14" t="n"/>
      <c r="D259" s="15" t="n"/>
      <c r="E259" s="15" t="n"/>
      <c r="F259" s="15" t="n"/>
      <c r="G259" s="15" t="n"/>
      <c r="H259" s="16" t="n"/>
      <c r="I259" s="14" t="n"/>
      <c r="J259" s="17" t="n"/>
      <c r="K259" s="17">
        <f>IF(OR(H259="",J259=""),"",H259*J259)</f>
        <v/>
      </c>
      <c r="L259" s="12" t="n"/>
      <c r="M259" s="15" t="n"/>
      <c r="N259" s="15" t="n"/>
      <c r="O259" s="14" t="n"/>
      <c r="P259" s="14">
        <f>IF(OR(L259="",D259="",O259="납품완료",O259="취소"),"",IF(L259&lt;TODAY(),"지연",IF(L259-TODAY()&lt;=$L$1,"임박","")))</f>
        <v/>
      </c>
      <c r="Q259" s="14" t="n"/>
      <c r="R259" s="15" t="n"/>
      <c r="S259" s="18">
        <f>IF(F259="","",IF(COUNTIF(F$4:F259,F259)=1,MAX(S$3:S258)+1,""))</f>
        <v/>
      </c>
    </row>
    <row r="260">
      <c r="A260" s="12" t="n"/>
      <c r="B260" s="13" t="n"/>
      <c r="C260" s="14" t="n"/>
      <c r="D260" s="15" t="n"/>
      <c r="E260" s="15" t="n"/>
      <c r="F260" s="15" t="n"/>
      <c r="G260" s="15" t="n"/>
      <c r="H260" s="16" t="n"/>
      <c r="I260" s="14" t="n"/>
      <c r="J260" s="17" t="n"/>
      <c r="K260" s="17">
        <f>IF(OR(H260="",J260=""),"",H260*J260)</f>
        <v/>
      </c>
      <c r="L260" s="12" t="n"/>
      <c r="M260" s="15" t="n"/>
      <c r="N260" s="15" t="n"/>
      <c r="O260" s="14" t="n"/>
      <c r="P260" s="14">
        <f>IF(OR(L260="",D260="",O260="납품완료",O260="취소"),"",IF(L260&lt;TODAY(),"지연",IF(L260-TODAY()&lt;=$L$1,"임박","")))</f>
        <v/>
      </c>
      <c r="Q260" s="14" t="n"/>
      <c r="R260" s="15" t="n"/>
      <c r="S260" s="18">
        <f>IF(F260="","",IF(COUNTIF(F$4:F260,F260)=1,MAX(S$3:S259)+1,""))</f>
        <v/>
      </c>
    </row>
    <row r="261">
      <c r="A261" s="12" t="n"/>
      <c r="B261" s="13" t="n"/>
      <c r="C261" s="14" t="n"/>
      <c r="D261" s="15" t="n"/>
      <c r="E261" s="15" t="n"/>
      <c r="F261" s="15" t="n"/>
      <c r="G261" s="15" t="n"/>
      <c r="H261" s="16" t="n"/>
      <c r="I261" s="14" t="n"/>
      <c r="J261" s="17" t="n"/>
      <c r="K261" s="17">
        <f>IF(OR(H261="",J261=""),"",H261*J261)</f>
        <v/>
      </c>
      <c r="L261" s="12" t="n"/>
      <c r="M261" s="15" t="n"/>
      <c r="N261" s="15" t="n"/>
      <c r="O261" s="14" t="n"/>
      <c r="P261" s="14">
        <f>IF(OR(L261="",D261="",O261="납품완료",O261="취소"),"",IF(L261&lt;TODAY(),"지연",IF(L261-TODAY()&lt;=$L$1,"임박","")))</f>
        <v/>
      </c>
      <c r="Q261" s="14" t="n"/>
      <c r="R261" s="15" t="n"/>
      <c r="S261" s="18">
        <f>IF(F261="","",IF(COUNTIF(F$4:F261,F261)=1,MAX(S$3:S260)+1,""))</f>
        <v/>
      </c>
    </row>
    <row r="262">
      <c r="A262" s="12" t="n"/>
      <c r="B262" s="13" t="n"/>
      <c r="C262" s="14" t="n"/>
      <c r="D262" s="15" t="n"/>
      <c r="E262" s="15" t="n"/>
      <c r="F262" s="15" t="n"/>
      <c r="G262" s="15" t="n"/>
      <c r="H262" s="16" t="n"/>
      <c r="I262" s="14" t="n"/>
      <c r="J262" s="17" t="n"/>
      <c r="K262" s="17">
        <f>IF(OR(H262="",J262=""),"",H262*J262)</f>
        <v/>
      </c>
      <c r="L262" s="12" t="n"/>
      <c r="M262" s="15" t="n"/>
      <c r="N262" s="15" t="n"/>
      <c r="O262" s="14" t="n"/>
      <c r="P262" s="14">
        <f>IF(OR(L262="",D262="",O262="납품완료",O262="취소"),"",IF(L262&lt;TODAY(),"지연",IF(L262-TODAY()&lt;=$L$1,"임박","")))</f>
        <v/>
      </c>
      <c r="Q262" s="14" t="n"/>
      <c r="R262" s="15" t="n"/>
      <c r="S262" s="18">
        <f>IF(F262="","",IF(COUNTIF(F$4:F262,F262)=1,MAX(S$3:S261)+1,""))</f>
        <v/>
      </c>
    </row>
    <row r="263">
      <c r="A263" s="12" t="n"/>
      <c r="B263" s="13" t="n"/>
      <c r="C263" s="14" t="n"/>
      <c r="D263" s="15" t="n"/>
      <c r="E263" s="15" t="n"/>
      <c r="F263" s="15" t="n"/>
      <c r="G263" s="15" t="n"/>
      <c r="H263" s="16" t="n"/>
      <c r="I263" s="14" t="n"/>
      <c r="J263" s="17" t="n"/>
      <c r="K263" s="17">
        <f>IF(OR(H263="",J263=""),"",H263*J263)</f>
        <v/>
      </c>
      <c r="L263" s="12" t="n"/>
      <c r="M263" s="15" t="n"/>
      <c r="N263" s="15" t="n"/>
      <c r="O263" s="14" t="n"/>
      <c r="P263" s="14">
        <f>IF(OR(L263="",D263="",O263="납품완료",O263="취소"),"",IF(L263&lt;TODAY(),"지연",IF(L263-TODAY()&lt;=$L$1,"임박","")))</f>
        <v/>
      </c>
      <c r="Q263" s="14" t="n"/>
      <c r="R263" s="15" t="n"/>
      <c r="S263" s="18">
        <f>IF(F263="","",IF(COUNTIF(F$4:F263,F263)=1,MAX(S$3:S262)+1,""))</f>
        <v/>
      </c>
    </row>
    <row r="264">
      <c r="A264" s="12" t="n"/>
      <c r="B264" s="13" t="n"/>
      <c r="C264" s="14" t="n"/>
      <c r="D264" s="15" t="n"/>
      <c r="E264" s="15" t="n"/>
      <c r="F264" s="15" t="n"/>
      <c r="G264" s="15" t="n"/>
      <c r="H264" s="16" t="n"/>
      <c r="I264" s="14" t="n"/>
      <c r="J264" s="17" t="n"/>
      <c r="K264" s="17">
        <f>IF(OR(H264="",J264=""),"",H264*J264)</f>
        <v/>
      </c>
      <c r="L264" s="12" t="n"/>
      <c r="M264" s="15" t="n"/>
      <c r="N264" s="15" t="n"/>
      <c r="O264" s="14" t="n"/>
      <c r="P264" s="14">
        <f>IF(OR(L264="",D264="",O264="납품완료",O264="취소"),"",IF(L264&lt;TODAY(),"지연",IF(L264-TODAY()&lt;=$L$1,"임박","")))</f>
        <v/>
      </c>
      <c r="Q264" s="14" t="n"/>
      <c r="R264" s="15" t="n"/>
      <c r="S264" s="18">
        <f>IF(F264="","",IF(COUNTIF(F$4:F264,F264)=1,MAX(S$3:S263)+1,""))</f>
        <v/>
      </c>
    </row>
    <row r="265">
      <c r="A265" s="12" t="n"/>
      <c r="B265" s="13" t="n"/>
      <c r="C265" s="14" t="n"/>
      <c r="D265" s="15" t="n"/>
      <c r="E265" s="15" t="n"/>
      <c r="F265" s="15" t="n"/>
      <c r="G265" s="15" t="n"/>
      <c r="H265" s="16" t="n"/>
      <c r="I265" s="14" t="n"/>
      <c r="J265" s="17" t="n"/>
      <c r="K265" s="17">
        <f>IF(OR(H265="",J265=""),"",H265*J265)</f>
        <v/>
      </c>
      <c r="L265" s="12" t="n"/>
      <c r="M265" s="15" t="n"/>
      <c r="N265" s="15" t="n"/>
      <c r="O265" s="14" t="n"/>
      <c r="P265" s="14">
        <f>IF(OR(L265="",D265="",O265="납품완료",O265="취소"),"",IF(L265&lt;TODAY(),"지연",IF(L265-TODAY()&lt;=$L$1,"임박","")))</f>
        <v/>
      </c>
      <c r="Q265" s="14" t="n"/>
      <c r="R265" s="15" t="n"/>
      <c r="S265" s="18">
        <f>IF(F265="","",IF(COUNTIF(F$4:F265,F265)=1,MAX(S$3:S264)+1,""))</f>
        <v/>
      </c>
    </row>
    <row r="266">
      <c r="A266" s="12" t="n"/>
      <c r="B266" s="13" t="n"/>
      <c r="C266" s="14" t="n"/>
      <c r="D266" s="15" t="n"/>
      <c r="E266" s="15" t="n"/>
      <c r="F266" s="15" t="n"/>
      <c r="G266" s="15" t="n"/>
      <c r="H266" s="16" t="n"/>
      <c r="I266" s="14" t="n"/>
      <c r="J266" s="17" t="n"/>
      <c r="K266" s="17">
        <f>IF(OR(H266="",J266=""),"",H266*J266)</f>
        <v/>
      </c>
      <c r="L266" s="12" t="n"/>
      <c r="M266" s="15" t="n"/>
      <c r="N266" s="15" t="n"/>
      <c r="O266" s="14" t="n"/>
      <c r="P266" s="14">
        <f>IF(OR(L266="",D266="",O266="납품완료",O266="취소"),"",IF(L266&lt;TODAY(),"지연",IF(L266-TODAY()&lt;=$L$1,"임박","")))</f>
        <v/>
      </c>
      <c r="Q266" s="14" t="n"/>
      <c r="R266" s="15" t="n"/>
      <c r="S266" s="18">
        <f>IF(F266="","",IF(COUNTIF(F$4:F266,F266)=1,MAX(S$3:S265)+1,""))</f>
        <v/>
      </c>
    </row>
    <row r="267">
      <c r="A267" s="12" t="n"/>
      <c r="B267" s="13" t="n"/>
      <c r="C267" s="14" t="n"/>
      <c r="D267" s="15" t="n"/>
      <c r="E267" s="15" t="n"/>
      <c r="F267" s="15" t="n"/>
      <c r="G267" s="15" t="n"/>
      <c r="H267" s="16" t="n"/>
      <c r="I267" s="14" t="n"/>
      <c r="J267" s="17" t="n"/>
      <c r="K267" s="17">
        <f>IF(OR(H267="",J267=""),"",H267*J267)</f>
        <v/>
      </c>
      <c r="L267" s="12" t="n"/>
      <c r="M267" s="15" t="n"/>
      <c r="N267" s="15" t="n"/>
      <c r="O267" s="14" t="n"/>
      <c r="P267" s="14">
        <f>IF(OR(L267="",D267="",O267="납품완료",O267="취소"),"",IF(L267&lt;TODAY(),"지연",IF(L267-TODAY()&lt;=$L$1,"임박","")))</f>
        <v/>
      </c>
      <c r="Q267" s="14" t="n"/>
      <c r="R267" s="15" t="n"/>
      <c r="S267" s="18">
        <f>IF(F267="","",IF(COUNTIF(F$4:F267,F267)=1,MAX(S$3:S266)+1,""))</f>
        <v/>
      </c>
    </row>
    <row r="268">
      <c r="A268" s="12" t="n"/>
      <c r="B268" s="13" t="n"/>
      <c r="C268" s="14" t="n"/>
      <c r="D268" s="15" t="n"/>
      <c r="E268" s="15" t="n"/>
      <c r="F268" s="15" t="n"/>
      <c r="G268" s="15" t="n"/>
      <c r="H268" s="16" t="n"/>
      <c r="I268" s="14" t="n"/>
      <c r="J268" s="17" t="n"/>
      <c r="K268" s="17">
        <f>IF(OR(H268="",J268=""),"",H268*J268)</f>
        <v/>
      </c>
      <c r="L268" s="12" t="n"/>
      <c r="M268" s="15" t="n"/>
      <c r="N268" s="15" t="n"/>
      <c r="O268" s="14" t="n"/>
      <c r="P268" s="14">
        <f>IF(OR(L268="",D268="",O268="납품완료",O268="취소"),"",IF(L268&lt;TODAY(),"지연",IF(L268-TODAY()&lt;=$L$1,"임박","")))</f>
        <v/>
      </c>
      <c r="Q268" s="14" t="n"/>
      <c r="R268" s="15" t="n"/>
      <c r="S268" s="18">
        <f>IF(F268="","",IF(COUNTIF(F$4:F268,F268)=1,MAX(S$3:S267)+1,""))</f>
        <v/>
      </c>
    </row>
    <row r="269">
      <c r="A269" s="12" t="n"/>
      <c r="B269" s="13" t="n"/>
      <c r="C269" s="14" t="n"/>
      <c r="D269" s="15" t="n"/>
      <c r="E269" s="15" t="n"/>
      <c r="F269" s="15" t="n"/>
      <c r="G269" s="15" t="n"/>
      <c r="H269" s="16" t="n"/>
      <c r="I269" s="14" t="n"/>
      <c r="J269" s="17" t="n"/>
      <c r="K269" s="17">
        <f>IF(OR(H269="",J269=""),"",H269*J269)</f>
        <v/>
      </c>
      <c r="L269" s="12" t="n"/>
      <c r="M269" s="15" t="n"/>
      <c r="N269" s="15" t="n"/>
      <c r="O269" s="14" t="n"/>
      <c r="P269" s="14">
        <f>IF(OR(L269="",D269="",O269="납품완료",O269="취소"),"",IF(L269&lt;TODAY(),"지연",IF(L269-TODAY()&lt;=$L$1,"임박","")))</f>
        <v/>
      </c>
      <c r="Q269" s="14" t="n"/>
      <c r="R269" s="15" t="n"/>
      <c r="S269" s="18">
        <f>IF(F269="","",IF(COUNTIF(F$4:F269,F269)=1,MAX(S$3:S268)+1,""))</f>
        <v/>
      </c>
    </row>
    <row r="270">
      <c r="A270" s="12" t="n"/>
      <c r="B270" s="13" t="n"/>
      <c r="C270" s="14" t="n"/>
      <c r="D270" s="15" t="n"/>
      <c r="E270" s="15" t="n"/>
      <c r="F270" s="15" t="n"/>
      <c r="G270" s="15" t="n"/>
      <c r="H270" s="16" t="n"/>
      <c r="I270" s="14" t="n"/>
      <c r="J270" s="17" t="n"/>
      <c r="K270" s="17">
        <f>IF(OR(H270="",J270=""),"",H270*J270)</f>
        <v/>
      </c>
      <c r="L270" s="12" t="n"/>
      <c r="M270" s="15" t="n"/>
      <c r="N270" s="15" t="n"/>
      <c r="O270" s="14" t="n"/>
      <c r="P270" s="14">
        <f>IF(OR(L270="",D270="",O270="납품완료",O270="취소"),"",IF(L270&lt;TODAY(),"지연",IF(L270-TODAY()&lt;=$L$1,"임박","")))</f>
        <v/>
      </c>
      <c r="Q270" s="14" t="n"/>
      <c r="R270" s="15" t="n"/>
      <c r="S270" s="18">
        <f>IF(F270="","",IF(COUNTIF(F$4:F270,F270)=1,MAX(S$3:S269)+1,""))</f>
        <v/>
      </c>
    </row>
    <row r="271">
      <c r="A271" s="12" t="n"/>
      <c r="B271" s="13" t="n"/>
      <c r="C271" s="14" t="n"/>
      <c r="D271" s="15" t="n"/>
      <c r="E271" s="15" t="n"/>
      <c r="F271" s="15" t="n"/>
      <c r="G271" s="15" t="n"/>
      <c r="H271" s="16" t="n"/>
      <c r="I271" s="14" t="n"/>
      <c r="J271" s="17" t="n"/>
      <c r="K271" s="17">
        <f>IF(OR(H271="",J271=""),"",H271*J271)</f>
        <v/>
      </c>
      <c r="L271" s="12" t="n"/>
      <c r="M271" s="15" t="n"/>
      <c r="N271" s="15" t="n"/>
      <c r="O271" s="14" t="n"/>
      <c r="P271" s="14">
        <f>IF(OR(L271="",D271="",O271="납품완료",O271="취소"),"",IF(L271&lt;TODAY(),"지연",IF(L271-TODAY()&lt;=$L$1,"임박","")))</f>
        <v/>
      </c>
      <c r="Q271" s="14" t="n"/>
      <c r="R271" s="15" t="n"/>
      <c r="S271" s="18">
        <f>IF(F271="","",IF(COUNTIF(F$4:F271,F271)=1,MAX(S$3:S270)+1,""))</f>
        <v/>
      </c>
    </row>
    <row r="272">
      <c r="A272" s="12" t="n"/>
      <c r="B272" s="13" t="n"/>
      <c r="C272" s="14" t="n"/>
      <c r="D272" s="15" t="n"/>
      <c r="E272" s="15" t="n"/>
      <c r="F272" s="15" t="n"/>
      <c r="G272" s="15" t="n"/>
      <c r="H272" s="16" t="n"/>
      <c r="I272" s="14" t="n"/>
      <c r="J272" s="17" t="n"/>
      <c r="K272" s="17">
        <f>IF(OR(H272="",J272=""),"",H272*J272)</f>
        <v/>
      </c>
      <c r="L272" s="12" t="n"/>
      <c r="M272" s="15" t="n"/>
      <c r="N272" s="15" t="n"/>
      <c r="O272" s="14" t="n"/>
      <c r="P272" s="14">
        <f>IF(OR(L272="",D272="",O272="납품완료",O272="취소"),"",IF(L272&lt;TODAY(),"지연",IF(L272-TODAY()&lt;=$L$1,"임박","")))</f>
        <v/>
      </c>
      <c r="Q272" s="14" t="n"/>
      <c r="R272" s="15" t="n"/>
      <c r="S272" s="18">
        <f>IF(F272="","",IF(COUNTIF(F$4:F272,F272)=1,MAX(S$3:S271)+1,""))</f>
        <v/>
      </c>
    </row>
    <row r="273">
      <c r="A273" s="12" t="n"/>
      <c r="B273" s="13" t="n"/>
      <c r="C273" s="14" t="n"/>
      <c r="D273" s="15" t="n"/>
      <c r="E273" s="15" t="n"/>
      <c r="F273" s="15" t="n"/>
      <c r="G273" s="15" t="n"/>
      <c r="H273" s="16" t="n"/>
      <c r="I273" s="14" t="n"/>
      <c r="J273" s="17" t="n"/>
      <c r="K273" s="17">
        <f>IF(OR(H273="",J273=""),"",H273*J273)</f>
        <v/>
      </c>
      <c r="L273" s="12" t="n"/>
      <c r="M273" s="15" t="n"/>
      <c r="N273" s="15" t="n"/>
      <c r="O273" s="14" t="n"/>
      <c r="P273" s="14">
        <f>IF(OR(L273="",D273="",O273="납품완료",O273="취소"),"",IF(L273&lt;TODAY(),"지연",IF(L273-TODAY()&lt;=$L$1,"임박","")))</f>
        <v/>
      </c>
      <c r="Q273" s="14" t="n"/>
      <c r="R273" s="15" t="n"/>
      <c r="S273" s="18">
        <f>IF(F273="","",IF(COUNTIF(F$4:F273,F273)=1,MAX(S$3:S272)+1,""))</f>
        <v/>
      </c>
    </row>
    <row r="274">
      <c r="A274" s="12" t="n"/>
      <c r="B274" s="13" t="n"/>
      <c r="C274" s="14" t="n"/>
      <c r="D274" s="15" t="n"/>
      <c r="E274" s="15" t="n"/>
      <c r="F274" s="15" t="n"/>
      <c r="G274" s="15" t="n"/>
      <c r="H274" s="16" t="n"/>
      <c r="I274" s="14" t="n"/>
      <c r="J274" s="17" t="n"/>
      <c r="K274" s="17">
        <f>IF(OR(H274="",J274=""),"",H274*J274)</f>
        <v/>
      </c>
      <c r="L274" s="12" t="n"/>
      <c r="M274" s="15" t="n"/>
      <c r="N274" s="15" t="n"/>
      <c r="O274" s="14" t="n"/>
      <c r="P274" s="14">
        <f>IF(OR(L274="",D274="",O274="납품완료",O274="취소"),"",IF(L274&lt;TODAY(),"지연",IF(L274-TODAY()&lt;=$L$1,"임박","")))</f>
        <v/>
      </c>
      <c r="Q274" s="14" t="n"/>
      <c r="R274" s="15" t="n"/>
      <c r="S274" s="18">
        <f>IF(F274="","",IF(COUNTIF(F$4:F274,F274)=1,MAX(S$3:S273)+1,""))</f>
        <v/>
      </c>
    </row>
    <row r="275">
      <c r="A275" s="12" t="n"/>
      <c r="B275" s="13" t="n"/>
      <c r="C275" s="14" t="n"/>
      <c r="D275" s="15" t="n"/>
      <c r="E275" s="15" t="n"/>
      <c r="F275" s="15" t="n"/>
      <c r="G275" s="15" t="n"/>
      <c r="H275" s="16" t="n"/>
      <c r="I275" s="14" t="n"/>
      <c r="J275" s="17" t="n"/>
      <c r="K275" s="17">
        <f>IF(OR(H275="",J275=""),"",H275*J275)</f>
        <v/>
      </c>
      <c r="L275" s="12" t="n"/>
      <c r="M275" s="15" t="n"/>
      <c r="N275" s="15" t="n"/>
      <c r="O275" s="14" t="n"/>
      <c r="P275" s="14">
        <f>IF(OR(L275="",D275="",O275="납품완료",O275="취소"),"",IF(L275&lt;TODAY(),"지연",IF(L275-TODAY()&lt;=$L$1,"임박","")))</f>
        <v/>
      </c>
      <c r="Q275" s="14" t="n"/>
      <c r="R275" s="15" t="n"/>
      <c r="S275" s="18">
        <f>IF(F275="","",IF(COUNTIF(F$4:F275,F275)=1,MAX(S$3:S274)+1,""))</f>
        <v/>
      </c>
    </row>
    <row r="276">
      <c r="A276" s="12" t="n"/>
      <c r="B276" s="13" t="n"/>
      <c r="C276" s="14" t="n"/>
      <c r="D276" s="15" t="n"/>
      <c r="E276" s="15" t="n"/>
      <c r="F276" s="15" t="n"/>
      <c r="G276" s="15" t="n"/>
      <c r="H276" s="16" t="n"/>
      <c r="I276" s="14" t="n"/>
      <c r="J276" s="17" t="n"/>
      <c r="K276" s="17">
        <f>IF(OR(H276="",J276=""),"",H276*J276)</f>
        <v/>
      </c>
      <c r="L276" s="12" t="n"/>
      <c r="M276" s="15" t="n"/>
      <c r="N276" s="15" t="n"/>
      <c r="O276" s="14" t="n"/>
      <c r="P276" s="14">
        <f>IF(OR(L276="",D276="",O276="납품완료",O276="취소"),"",IF(L276&lt;TODAY(),"지연",IF(L276-TODAY()&lt;=$L$1,"임박","")))</f>
        <v/>
      </c>
      <c r="Q276" s="14" t="n"/>
      <c r="R276" s="15" t="n"/>
      <c r="S276" s="18">
        <f>IF(F276="","",IF(COUNTIF(F$4:F276,F276)=1,MAX(S$3:S275)+1,""))</f>
        <v/>
      </c>
    </row>
    <row r="277">
      <c r="A277" s="12" t="n"/>
      <c r="B277" s="13" t="n"/>
      <c r="C277" s="14" t="n"/>
      <c r="D277" s="15" t="n"/>
      <c r="E277" s="15" t="n"/>
      <c r="F277" s="15" t="n"/>
      <c r="G277" s="15" t="n"/>
      <c r="H277" s="16" t="n"/>
      <c r="I277" s="14" t="n"/>
      <c r="J277" s="17" t="n"/>
      <c r="K277" s="17">
        <f>IF(OR(H277="",J277=""),"",H277*J277)</f>
        <v/>
      </c>
      <c r="L277" s="12" t="n"/>
      <c r="M277" s="15" t="n"/>
      <c r="N277" s="15" t="n"/>
      <c r="O277" s="14" t="n"/>
      <c r="P277" s="14">
        <f>IF(OR(L277="",D277="",O277="납품완료",O277="취소"),"",IF(L277&lt;TODAY(),"지연",IF(L277-TODAY()&lt;=$L$1,"임박","")))</f>
        <v/>
      </c>
      <c r="Q277" s="14" t="n"/>
      <c r="R277" s="15" t="n"/>
      <c r="S277" s="18">
        <f>IF(F277="","",IF(COUNTIF(F$4:F277,F277)=1,MAX(S$3:S276)+1,""))</f>
        <v/>
      </c>
    </row>
    <row r="278">
      <c r="A278" s="12" t="n"/>
      <c r="B278" s="13" t="n"/>
      <c r="C278" s="14" t="n"/>
      <c r="D278" s="15" t="n"/>
      <c r="E278" s="15" t="n"/>
      <c r="F278" s="15" t="n"/>
      <c r="G278" s="15" t="n"/>
      <c r="H278" s="16" t="n"/>
      <c r="I278" s="14" t="n"/>
      <c r="J278" s="17" t="n"/>
      <c r="K278" s="17">
        <f>IF(OR(H278="",J278=""),"",H278*J278)</f>
        <v/>
      </c>
      <c r="L278" s="12" t="n"/>
      <c r="M278" s="15" t="n"/>
      <c r="N278" s="15" t="n"/>
      <c r="O278" s="14" t="n"/>
      <c r="P278" s="14">
        <f>IF(OR(L278="",D278="",O278="납품완료",O278="취소"),"",IF(L278&lt;TODAY(),"지연",IF(L278-TODAY()&lt;=$L$1,"임박","")))</f>
        <v/>
      </c>
      <c r="Q278" s="14" t="n"/>
      <c r="R278" s="15" t="n"/>
      <c r="S278" s="18">
        <f>IF(F278="","",IF(COUNTIF(F$4:F278,F278)=1,MAX(S$3:S277)+1,""))</f>
        <v/>
      </c>
    </row>
    <row r="279">
      <c r="A279" s="12" t="n"/>
      <c r="B279" s="13" t="n"/>
      <c r="C279" s="14" t="n"/>
      <c r="D279" s="15" t="n"/>
      <c r="E279" s="15" t="n"/>
      <c r="F279" s="15" t="n"/>
      <c r="G279" s="15" t="n"/>
      <c r="H279" s="16" t="n"/>
      <c r="I279" s="14" t="n"/>
      <c r="J279" s="17" t="n"/>
      <c r="K279" s="17">
        <f>IF(OR(H279="",J279=""),"",H279*J279)</f>
        <v/>
      </c>
      <c r="L279" s="12" t="n"/>
      <c r="M279" s="15" t="n"/>
      <c r="N279" s="15" t="n"/>
      <c r="O279" s="14" t="n"/>
      <c r="P279" s="14">
        <f>IF(OR(L279="",D279="",O279="납품완료",O279="취소"),"",IF(L279&lt;TODAY(),"지연",IF(L279-TODAY()&lt;=$L$1,"임박","")))</f>
        <v/>
      </c>
      <c r="Q279" s="14" t="n"/>
      <c r="R279" s="15" t="n"/>
      <c r="S279" s="18">
        <f>IF(F279="","",IF(COUNTIF(F$4:F279,F279)=1,MAX(S$3:S278)+1,""))</f>
        <v/>
      </c>
    </row>
    <row r="280">
      <c r="A280" s="12" t="n"/>
      <c r="B280" s="13" t="n"/>
      <c r="C280" s="14" t="n"/>
      <c r="D280" s="15" t="n"/>
      <c r="E280" s="15" t="n"/>
      <c r="F280" s="15" t="n"/>
      <c r="G280" s="15" t="n"/>
      <c r="H280" s="16" t="n"/>
      <c r="I280" s="14" t="n"/>
      <c r="J280" s="17" t="n"/>
      <c r="K280" s="17">
        <f>IF(OR(H280="",J280=""),"",H280*J280)</f>
        <v/>
      </c>
      <c r="L280" s="12" t="n"/>
      <c r="M280" s="15" t="n"/>
      <c r="N280" s="15" t="n"/>
      <c r="O280" s="14" t="n"/>
      <c r="P280" s="14">
        <f>IF(OR(L280="",D280="",O280="납품완료",O280="취소"),"",IF(L280&lt;TODAY(),"지연",IF(L280-TODAY()&lt;=$L$1,"임박","")))</f>
        <v/>
      </c>
      <c r="Q280" s="14" t="n"/>
      <c r="R280" s="15" t="n"/>
      <c r="S280" s="18">
        <f>IF(F280="","",IF(COUNTIF(F$4:F280,F280)=1,MAX(S$3:S279)+1,""))</f>
        <v/>
      </c>
    </row>
    <row r="281">
      <c r="A281" s="12" t="n"/>
      <c r="B281" s="13" t="n"/>
      <c r="C281" s="14" t="n"/>
      <c r="D281" s="15" t="n"/>
      <c r="E281" s="15" t="n"/>
      <c r="F281" s="15" t="n"/>
      <c r="G281" s="15" t="n"/>
      <c r="H281" s="16" t="n"/>
      <c r="I281" s="14" t="n"/>
      <c r="J281" s="17" t="n"/>
      <c r="K281" s="17">
        <f>IF(OR(H281="",J281=""),"",H281*J281)</f>
        <v/>
      </c>
      <c r="L281" s="12" t="n"/>
      <c r="M281" s="15" t="n"/>
      <c r="N281" s="15" t="n"/>
      <c r="O281" s="14" t="n"/>
      <c r="P281" s="14">
        <f>IF(OR(L281="",D281="",O281="납품완료",O281="취소"),"",IF(L281&lt;TODAY(),"지연",IF(L281-TODAY()&lt;=$L$1,"임박","")))</f>
        <v/>
      </c>
      <c r="Q281" s="14" t="n"/>
      <c r="R281" s="15" t="n"/>
      <c r="S281" s="18">
        <f>IF(F281="","",IF(COUNTIF(F$4:F281,F281)=1,MAX(S$3:S280)+1,""))</f>
        <v/>
      </c>
    </row>
    <row r="282">
      <c r="A282" s="12" t="n"/>
      <c r="B282" s="13" t="n"/>
      <c r="C282" s="14" t="n"/>
      <c r="D282" s="15" t="n"/>
      <c r="E282" s="15" t="n"/>
      <c r="F282" s="15" t="n"/>
      <c r="G282" s="15" t="n"/>
      <c r="H282" s="16" t="n"/>
      <c r="I282" s="14" t="n"/>
      <c r="J282" s="17" t="n"/>
      <c r="K282" s="17">
        <f>IF(OR(H282="",J282=""),"",H282*J282)</f>
        <v/>
      </c>
      <c r="L282" s="12" t="n"/>
      <c r="M282" s="15" t="n"/>
      <c r="N282" s="15" t="n"/>
      <c r="O282" s="14" t="n"/>
      <c r="P282" s="14">
        <f>IF(OR(L282="",D282="",O282="납품완료",O282="취소"),"",IF(L282&lt;TODAY(),"지연",IF(L282-TODAY()&lt;=$L$1,"임박","")))</f>
        <v/>
      </c>
      <c r="Q282" s="14" t="n"/>
      <c r="R282" s="15" t="n"/>
      <c r="S282" s="18">
        <f>IF(F282="","",IF(COUNTIF(F$4:F282,F282)=1,MAX(S$3:S281)+1,""))</f>
        <v/>
      </c>
    </row>
    <row r="283">
      <c r="A283" s="12" t="n"/>
      <c r="B283" s="13" t="n"/>
      <c r="C283" s="14" t="n"/>
      <c r="D283" s="15" t="n"/>
      <c r="E283" s="15" t="n"/>
      <c r="F283" s="15" t="n"/>
      <c r="G283" s="15" t="n"/>
      <c r="H283" s="16" t="n"/>
      <c r="I283" s="14" t="n"/>
      <c r="J283" s="17" t="n"/>
      <c r="K283" s="17">
        <f>IF(OR(H283="",J283=""),"",H283*J283)</f>
        <v/>
      </c>
      <c r="L283" s="12" t="n"/>
      <c r="M283" s="15" t="n"/>
      <c r="N283" s="15" t="n"/>
      <c r="O283" s="14" t="n"/>
      <c r="P283" s="14">
        <f>IF(OR(L283="",D283="",O283="납품완료",O283="취소"),"",IF(L283&lt;TODAY(),"지연",IF(L283-TODAY()&lt;=$L$1,"임박","")))</f>
        <v/>
      </c>
      <c r="Q283" s="14" t="n"/>
      <c r="R283" s="15" t="n"/>
      <c r="S283" s="18">
        <f>IF(F283="","",IF(COUNTIF(F$4:F283,F283)=1,MAX(S$3:S282)+1,""))</f>
        <v/>
      </c>
    </row>
    <row r="284">
      <c r="A284" s="12" t="n"/>
      <c r="B284" s="13" t="n"/>
      <c r="C284" s="14" t="n"/>
      <c r="D284" s="15" t="n"/>
      <c r="E284" s="15" t="n"/>
      <c r="F284" s="15" t="n"/>
      <c r="G284" s="15" t="n"/>
      <c r="H284" s="16" t="n"/>
      <c r="I284" s="14" t="n"/>
      <c r="J284" s="17" t="n"/>
      <c r="K284" s="17">
        <f>IF(OR(H284="",J284=""),"",H284*J284)</f>
        <v/>
      </c>
      <c r="L284" s="12" t="n"/>
      <c r="M284" s="15" t="n"/>
      <c r="N284" s="15" t="n"/>
      <c r="O284" s="14" t="n"/>
      <c r="P284" s="14">
        <f>IF(OR(L284="",D284="",O284="납품완료",O284="취소"),"",IF(L284&lt;TODAY(),"지연",IF(L284-TODAY()&lt;=$L$1,"임박","")))</f>
        <v/>
      </c>
      <c r="Q284" s="14" t="n"/>
      <c r="R284" s="15" t="n"/>
      <c r="S284" s="18">
        <f>IF(F284="","",IF(COUNTIF(F$4:F284,F284)=1,MAX(S$3:S283)+1,""))</f>
        <v/>
      </c>
    </row>
    <row r="285">
      <c r="A285" s="12" t="n"/>
      <c r="B285" s="13" t="n"/>
      <c r="C285" s="14" t="n"/>
      <c r="D285" s="15" t="n"/>
      <c r="E285" s="15" t="n"/>
      <c r="F285" s="15" t="n"/>
      <c r="G285" s="15" t="n"/>
      <c r="H285" s="16" t="n"/>
      <c r="I285" s="14" t="n"/>
      <c r="J285" s="17" t="n"/>
      <c r="K285" s="17">
        <f>IF(OR(H285="",J285=""),"",H285*J285)</f>
        <v/>
      </c>
      <c r="L285" s="12" t="n"/>
      <c r="M285" s="15" t="n"/>
      <c r="N285" s="15" t="n"/>
      <c r="O285" s="14" t="n"/>
      <c r="P285" s="14">
        <f>IF(OR(L285="",D285="",O285="납품완료",O285="취소"),"",IF(L285&lt;TODAY(),"지연",IF(L285-TODAY()&lt;=$L$1,"임박","")))</f>
        <v/>
      </c>
      <c r="Q285" s="14" t="n"/>
      <c r="R285" s="15" t="n"/>
      <c r="S285" s="18">
        <f>IF(F285="","",IF(COUNTIF(F$4:F285,F285)=1,MAX(S$3:S284)+1,""))</f>
        <v/>
      </c>
    </row>
    <row r="286">
      <c r="A286" s="12" t="n"/>
      <c r="B286" s="13" t="n"/>
      <c r="C286" s="14" t="n"/>
      <c r="D286" s="15" t="n"/>
      <c r="E286" s="15" t="n"/>
      <c r="F286" s="15" t="n"/>
      <c r="G286" s="15" t="n"/>
      <c r="H286" s="16" t="n"/>
      <c r="I286" s="14" t="n"/>
      <c r="J286" s="17" t="n"/>
      <c r="K286" s="17">
        <f>IF(OR(H286="",J286=""),"",H286*J286)</f>
        <v/>
      </c>
      <c r="L286" s="12" t="n"/>
      <c r="M286" s="15" t="n"/>
      <c r="N286" s="15" t="n"/>
      <c r="O286" s="14" t="n"/>
      <c r="P286" s="14">
        <f>IF(OR(L286="",D286="",O286="납품완료",O286="취소"),"",IF(L286&lt;TODAY(),"지연",IF(L286-TODAY()&lt;=$L$1,"임박","")))</f>
        <v/>
      </c>
      <c r="Q286" s="14" t="n"/>
      <c r="R286" s="15" t="n"/>
      <c r="S286" s="18">
        <f>IF(F286="","",IF(COUNTIF(F$4:F286,F286)=1,MAX(S$3:S285)+1,""))</f>
        <v/>
      </c>
    </row>
    <row r="287">
      <c r="A287" s="12" t="n"/>
      <c r="B287" s="13" t="n"/>
      <c r="C287" s="14" t="n"/>
      <c r="D287" s="15" t="n"/>
      <c r="E287" s="15" t="n"/>
      <c r="F287" s="15" t="n"/>
      <c r="G287" s="15" t="n"/>
      <c r="H287" s="16" t="n"/>
      <c r="I287" s="14" t="n"/>
      <c r="J287" s="17" t="n"/>
      <c r="K287" s="17">
        <f>IF(OR(H287="",J287=""),"",H287*J287)</f>
        <v/>
      </c>
      <c r="L287" s="12" t="n"/>
      <c r="M287" s="15" t="n"/>
      <c r="N287" s="15" t="n"/>
      <c r="O287" s="14" t="n"/>
      <c r="P287" s="14">
        <f>IF(OR(L287="",D287="",O287="납품완료",O287="취소"),"",IF(L287&lt;TODAY(),"지연",IF(L287-TODAY()&lt;=$L$1,"임박","")))</f>
        <v/>
      </c>
      <c r="Q287" s="14" t="n"/>
      <c r="R287" s="15" t="n"/>
      <c r="S287" s="18">
        <f>IF(F287="","",IF(COUNTIF(F$4:F287,F287)=1,MAX(S$3:S286)+1,""))</f>
        <v/>
      </c>
    </row>
    <row r="288">
      <c r="A288" s="12" t="n"/>
      <c r="B288" s="13" t="n"/>
      <c r="C288" s="14" t="n"/>
      <c r="D288" s="15" t="n"/>
      <c r="E288" s="15" t="n"/>
      <c r="F288" s="15" t="n"/>
      <c r="G288" s="15" t="n"/>
      <c r="H288" s="16" t="n"/>
      <c r="I288" s="14" t="n"/>
      <c r="J288" s="17" t="n"/>
      <c r="K288" s="17">
        <f>IF(OR(H288="",J288=""),"",H288*J288)</f>
        <v/>
      </c>
      <c r="L288" s="12" t="n"/>
      <c r="M288" s="15" t="n"/>
      <c r="N288" s="15" t="n"/>
      <c r="O288" s="14" t="n"/>
      <c r="P288" s="14">
        <f>IF(OR(L288="",D288="",O288="납품완료",O288="취소"),"",IF(L288&lt;TODAY(),"지연",IF(L288-TODAY()&lt;=$L$1,"임박","")))</f>
        <v/>
      </c>
      <c r="Q288" s="14" t="n"/>
      <c r="R288" s="15" t="n"/>
      <c r="S288" s="18">
        <f>IF(F288="","",IF(COUNTIF(F$4:F288,F288)=1,MAX(S$3:S287)+1,""))</f>
        <v/>
      </c>
    </row>
    <row r="289">
      <c r="A289" s="12" t="n"/>
      <c r="B289" s="13" t="n"/>
      <c r="C289" s="14" t="n"/>
      <c r="D289" s="15" t="n"/>
      <c r="E289" s="15" t="n"/>
      <c r="F289" s="15" t="n"/>
      <c r="G289" s="15" t="n"/>
      <c r="H289" s="16" t="n"/>
      <c r="I289" s="14" t="n"/>
      <c r="J289" s="17" t="n"/>
      <c r="K289" s="17">
        <f>IF(OR(H289="",J289=""),"",H289*J289)</f>
        <v/>
      </c>
      <c r="L289" s="12" t="n"/>
      <c r="M289" s="15" t="n"/>
      <c r="N289" s="15" t="n"/>
      <c r="O289" s="14" t="n"/>
      <c r="P289" s="14">
        <f>IF(OR(L289="",D289="",O289="납품완료",O289="취소"),"",IF(L289&lt;TODAY(),"지연",IF(L289-TODAY()&lt;=$L$1,"임박","")))</f>
        <v/>
      </c>
      <c r="Q289" s="14" t="n"/>
      <c r="R289" s="15" t="n"/>
      <c r="S289" s="18">
        <f>IF(F289="","",IF(COUNTIF(F$4:F289,F289)=1,MAX(S$3:S288)+1,""))</f>
        <v/>
      </c>
    </row>
    <row r="290">
      <c r="A290" s="12" t="n"/>
      <c r="B290" s="13" t="n"/>
      <c r="C290" s="14" t="n"/>
      <c r="D290" s="15" t="n"/>
      <c r="E290" s="15" t="n"/>
      <c r="F290" s="15" t="n"/>
      <c r="G290" s="15" t="n"/>
      <c r="H290" s="16" t="n"/>
      <c r="I290" s="14" t="n"/>
      <c r="J290" s="17" t="n"/>
      <c r="K290" s="17">
        <f>IF(OR(H290="",J290=""),"",H290*J290)</f>
        <v/>
      </c>
      <c r="L290" s="12" t="n"/>
      <c r="M290" s="15" t="n"/>
      <c r="N290" s="15" t="n"/>
      <c r="O290" s="14" t="n"/>
      <c r="P290" s="14">
        <f>IF(OR(L290="",D290="",O290="납품완료",O290="취소"),"",IF(L290&lt;TODAY(),"지연",IF(L290-TODAY()&lt;=$L$1,"임박","")))</f>
        <v/>
      </c>
      <c r="Q290" s="14" t="n"/>
      <c r="R290" s="15" t="n"/>
      <c r="S290" s="18">
        <f>IF(F290="","",IF(COUNTIF(F$4:F290,F290)=1,MAX(S$3:S289)+1,""))</f>
        <v/>
      </c>
    </row>
    <row r="291">
      <c r="A291" s="12" t="n"/>
      <c r="B291" s="13" t="n"/>
      <c r="C291" s="14" t="n"/>
      <c r="D291" s="15" t="n"/>
      <c r="E291" s="15" t="n"/>
      <c r="F291" s="15" t="n"/>
      <c r="G291" s="15" t="n"/>
      <c r="H291" s="16" t="n"/>
      <c r="I291" s="14" t="n"/>
      <c r="J291" s="17" t="n"/>
      <c r="K291" s="17">
        <f>IF(OR(H291="",J291=""),"",H291*J291)</f>
        <v/>
      </c>
      <c r="L291" s="12" t="n"/>
      <c r="M291" s="15" t="n"/>
      <c r="N291" s="15" t="n"/>
      <c r="O291" s="14" t="n"/>
      <c r="P291" s="14">
        <f>IF(OR(L291="",D291="",O291="납품완료",O291="취소"),"",IF(L291&lt;TODAY(),"지연",IF(L291-TODAY()&lt;=$L$1,"임박","")))</f>
        <v/>
      </c>
      <c r="Q291" s="14" t="n"/>
      <c r="R291" s="15" t="n"/>
      <c r="S291" s="18">
        <f>IF(F291="","",IF(COUNTIF(F$4:F291,F291)=1,MAX(S$3:S290)+1,""))</f>
        <v/>
      </c>
    </row>
    <row r="292">
      <c r="A292" s="12" t="n"/>
      <c r="B292" s="13" t="n"/>
      <c r="C292" s="14" t="n"/>
      <c r="D292" s="15" t="n"/>
      <c r="E292" s="15" t="n"/>
      <c r="F292" s="15" t="n"/>
      <c r="G292" s="15" t="n"/>
      <c r="H292" s="16" t="n"/>
      <c r="I292" s="14" t="n"/>
      <c r="J292" s="17" t="n"/>
      <c r="K292" s="17">
        <f>IF(OR(H292="",J292=""),"",H292*J292)</f>
        <v/>
      </c>
      <c r="L292" s="12" t="n"/>
      <c r="M292" s="15" t="n"/>
      <c r="N292" s="15" t="n"/>
      <c r="O292" s="14" t="n"/>
      <c r="P292" s="14">
        <f>IF(OR(L292="",D292="",O292="납품완료",O292="취소"),"",IF(L292&lt;TODAY(),"지연",IF(L292-TODAY()&lt;=$L$1,"임박","")))</f>
        <v/>
      </c>
      <c r="Q292" s="14" t="n"/>
      <c r="R292" s="15" t="n"/>
      <c r="S292" s="18">
        <f>IF(F292="","",IF(COUNTIF(F$4:F292,F292)=1,MAX(S$3:S291)+1,""))</f>
        <v/>
      </c>
    </row>
    <row r="293">
      <c r="A293" s="12" t="n"/>
      <c r="B293" s="13" t="n"/>
      <c r="C293" s="14" t="n"/>
      <c r="D293" s="15" t="n"/>
      <c r="E293" s="15" t="n"/>
      <c r="F293" s="15" t="n"/>
      <c r="G293" s="15" t="n"/>
      <c r="H293" s="16" t="n"/>
      <c r="I293" s="14" t="n"/>
      <c r="J293" s="17" t="n"/>
      <c r="K293" s="17">
        <f>IF(OR(H293="",J293=""),"",H293*J293)</f>
        <v/>
      </c>
      <c r="L293" s="12" t="n"/>
      <c r="M293" s="15" t="n"/>
      <c r="N293" s="15" t="n"/>
      <c r="O293" s="14" t="n"/>
      <c r="P293" s="14">
        <f>IF(OR(L293="",D293="",O293="납품완료",O293="취소"),"",IF(L293&lt;TODAY(),"지연",IF(L293-TODAY()&lt;=$L$1,"임박","")))</f>
        <v/>
      </c>
      <c r="Q293" s="14" t="n"/>
      <c r="R293" s="15" t="n"/>
      <c r="S293" s="18">
        <f>IF(F293="","",IF(COUNTIF(F$4:F293,F293)=1,MAX(S$3:S292)+1,""))</f>
        <v/>
      </c>
    </row>
    <row r="294">
      <c r="A294" s="12" t="n"/>
      <c r="B294" s="13" t="n"/>
      <c r="C294" s="14" t="n"/>
      <c r="D294" s="15" t="n"/>
      <c r="E294" s="15" t="n"/>
      <c r="F294" s="15" t="n"/>
      <c r="G294" s="15" t="n"/>
      <c r="H294" s="16" t="n"/>
      <c r="I294" s="14" t="n"/>
      <c r="J294" s="17" t="n"/>
      <c r="K294" s="17">
        <f>IF(OR(H294="",J294=""),"",H294*J294)</f>
        <v/>
      </c>
      <c r="L294" s="12" t="n"/>
      <c r="M294" s="15" t="n"/>
      <c r="N294" s="15" t="n"/>
      <c r="O294" s="14" t="n"/>
      <c r="P294" s="14">
        <f>IF(OR(L294="",D294="",O294="납품완료",O294="취소"),"",IF(L294&lt;TODAY(),"지연",IF(L294-TODAY()&lt;=$L$1,"임박","")))</f>
        <v/>
      </c>
      <c r="Q294" s="14" t="n"/>
      <c r="R294" s="15" t="n"/>
      <c r="S294" s="18">
        <f>IF(F294="","",IF(COUNTIF(F$4:F294,F294)=1,MAX(S$3:S293)+1,""))</f>
        <v/>
      </c>
    </row>
    <row r="295">
      <c r="A295" s="12" t="n"/>
      <c r="B295" s="13" t="n"/>
      <c r="C295" s="14" t="n"/>
      <c r="D295" s="15" t="n"/>
      <c r="E295" s="15" t="n"/>
      <c r="F295" s="15" t="n"/>
      <c r="G295" s="15" t="n"/>
      <c r="H295" s="16" t="n"/>
      <c r="I295" s="14" t="n"/>
      <c r="J295" s="17" t="n"/>
      <c r="K295" s="17">
        <f>IF(OR(H295="",J295=""),"",H295*J295)</f>
        <v/>
      </c>
      <c r="L295" s="12" t="n"/>
      <c r="M295" s="15" t="n"/>
      <c r="N295" s="15" t="n"/>
      <c r="O295" s="14" t="n"/>
      <c r="P295" s="14">
        <f>IF(OR(L295="",D295="",O295="납품완료",O295="취소"),"",IF(L295&lt;TODAY(),"지연",IF(L295-TODAY()&lt;=$L$1,"임박","")))</f>
        <v/>
      </c>
      <c r="Q295" s="14" t="n"/>
      <c r="R295" s="15" t="n"/>
      <c r="S295" s="18">
        <f>IF(F295="","",IF(COUNTIF(F$4:F295,F295)=1,MAX(S$3:S294)+1,""))</f>
        <v/>
      </c>
    </row>
    <row r="296">
      <c r="A296" s="12" t="n"/>
      <c r="B296" s="13" t="n"/>
      <c r="C296" s="14" t="n"/>
      <c r="D296" s="15" t="n"/>
      <c r="E296" s="15" t="n"/>
      <c r="F296" s="15" t="n"/>
      <c r="G296" s="15" t="n"/>
      <c r="H296" s="16" t="n"/>
      <c r="I296" s="14" t="n"/>
      <c r="J296" s="17" t="n"/>
      <c r="K296" s="17">
        <f>IF(OR(H296="",J296=""),"",H296*J296)</f>
        <v/>
      </c>
      <c r="L296" s="12" t="n"/>
      <c r="M296" s="15" t="n"/>
      <c r="N296" s="15" t="n"/>
      <c r="O296" s="14" t="n"/>
      <c r="P296" s="14">
        <f>IF(OR(L296="",D296="",O296="납품완료",O296="취소"),"",IF(L296&lt;TODAY(),"지연",IF(L296-TODAY()&lt;=$L$1,"임박","")))</f>
        <v/>
      </c>
      <c r="Q296" s="14" t="n"/>
      <c r="R296" s="15" t="n"/>
      <c r="S296" s="18">
        <f>IF(F296="","",IF(COUNTIF(F$4:F296,F296)=1,MAX(S$3:S295)+1,""))</f>
        <v/>
      </c>
    </row>
    <row r="297">
      <c r="A297" s="12" t="n"/>
      <c r="B297" s="13" t="n"/>
      <c r="C297" s="14" t="n"/>
      <c r="D297" s="15" t="n"/>
      <c r="E297" s="15" t="n"/>
      <c r="F297" s="15" t="n"/>
      <c r="G297" s="15" t="n"/>
      <c r="H297" s="16" t="n"/>
      <c r="I297" s="14" t="n"/>
      <c r="J297" s="17" t="n"/>
      <c r="K297" s="17">
        <f>IF(OR(H297="",J297=""),"",H297*J297)</f>
        <v/>
      </c>
      <c r="L297" s="12" t="n"/>
      <c r="M297" s="15" t="n"/>
      <c r="N297" s="15" t="n"/>
      <c r="O297" s="14" t="n"/>
      <c r="P297" s="14">
        <f>IF(OR(L297="",D297="",O297="납품완료",O297="취소"),"",IF(L297&lt;TODAY(),"지연",IF(L297-TODAY()&lt;=$L$1,"임박","")))</f>
        <v/>
      </c>
      <c r="Q297" s="14" t="n"/>
      <c r="R297" s="15" t="n"/>
      <c r="S297" s="18">
        <f>IF(F297="","",IF(COUNTIF(F$4:F297,F297)=1,MAX(S$3:S296)+1,""))</f>
        <v/>
      </c>
    </row>
    <row r="298">
      <c r="A298" s="12" t="n"/>
      <c r="B298" s="13" t="n"/>
      <c r="C298" s="14" t="n"/>
      <c r="D298" s="15" t="n"/>
      <c r="E298" s="15" t="n"/>
      <c r="F298" s="15" t="n"/>
      <c r="G298" s="15" t="n"/>
      <c r="H298" s="16" t="n"/>
      <c r="I298" s="14" t="n"/>
      <c r="J298" s="17" t="n"/>
      <c r="K298" s="17">
        <f>IF(OR(H298="",J298=""),"",H298*J298)</f>
        <v/>
      </c>
      <c r="L298" s="12" t="n"/>
      <c r="M298" s="15" t="n"/>
      <c r="N298" s="15" t="n"/>
      <c r="O298" s="14" t="n"/>
      <c r="P298" s="14">
        <f>IF(OR(L298="",D298="",O298="납품완료",O298="취소"),"",IF(L298&lt;TODAY(),"지연",IF(L298-TODAY()&lt;=$L$1,"임박","")))</f>
        <v/>
      </c>
      <c r="Q298" s="14" t="n"/>
      <c r="R298" s="15" t="n"/>
      <c r="S298" s="18">
        <f>IF(F298="","",IF(COUNTIF(F$4:F298,F298)=1,MAX(S$3:S297)+1,""))</f>
        <v/>
      </c>
    </row>
    <row r="299">
      <c r="A299" s="12" t="n"/>
      <c r="B299" s="13" t="n"/>
      <c r="C299" s="14" t="n"/>
      <c r="D299" s="15" t="n"/>
      <c r="E299" s="15" t="n"/>
      <c r="F299" s="15" t="n"/>
      <c r="G299" s="15" t="n"/>
      <c r="H299" s="16" t="n"/>
      <c r="I299" s="14" t="n"/>
      <c r="J299" s="17" t="n"/>
      <c r="K299" s="17">
        <f>IF(OR(H299="",J299=""),"",H299*J299)</f>
        <v/>
      </c>
      <c r="L299" s="12" t="n"/>
      <c r="M299" s="15" t="n"/>
      <c r="N299" s="15" t="n"/>
      <c r="O299" s="14" t="n"/>
      <c r="P299" s="14">
        <f>IF(OR(L299="",D299="",O299="납품완료",O299="취소"),"",IF(L299&lt;TODAY(),"지연",IF(L299-TODAY()&lt;=$L$1,"임박","")))</f>
        <v/>
      </c>
      <c r="Q299" s="14" t="n"/>
      <c r="R299" s="15" t="n"/>
      <c r="S299" s="18">
        <f>IF(F299="","",IF(COUNTIF(F$4:F299,F299)=1,MAX(S$3:S298)+1,""))</f>
        <v/>
      </c>
    </row>
    <row r="300">
      <c r="A300" s="12" t="n"/>
      <c r="B300" s="13" t="n"/>
      <c r="C300" s="14" t="n"/>
      <c r="D300" s="15" t="n"/>
      <c r="E300" s="15" t="n"/>
      <c r="F300" s="15" t="n"/>
      <c r="G300" s="15" t="n"/>
      <c r="H300" s="16" t="n"/>
      <c r="I300" s="14" t="n"/>
      <c r="J300" s="17" t="n"/>
      <c r="K300" s="17">
        <f>IF(OR(H300="",J300=""),"",H300*J300)</f>
        <v/>
      </c>
      <c r="L300" s="12" t="n"/>
      <c r="M300" s="15" t="n"/>
      <c r="N300" s="15" t="n"/>
      <c r="O300" s="14" t="n"/>
      <c r="P300" s="14">
        <f>IF(OR(L300="",D300="",O300="납품완료",O300="취소"),"",IF(L300&lt;TODAY(),"지연",IF(L300-TODAY()&lt;=$L$1,"임박","")))</f>
        <v/>
      </c>
      <c r="Q300" s="14" t="n"/>
      <c r="R300" s="15" t="n"/>
      <c r="S300" s="18">
        <f>IF(F300="","",IF(COUNTIF(F$4:F300,F300)=1,MAX(S$3:S299)+1,""))</f>
        <v/>
      </c>
    </row>
    <row r="301">
      <c r="A301" s="12" t="n"/>
      <c r="B301" s="13" t="n"/>
      <c r="C301" s="14" t="n"/>
      <c r="D301" s="15" t="n"/>
      <c r="E301" s="15" t="n"/>
      <c r="F301" s="15" t="n"/>
      <c r="G301" s="15" t="n"/>
      <c r="H301" s="16" t="n"/>
      <c r="I301" s="14" t="n"/>
      <c r="J301" s="17" t="n"/>
      <c r="K301" s="17">
        <f>IF(OR(H301="",J301=""),"",H301*J301)</f>
        <v/>
      </c>
      <c r="L301" s="12" t="n"/>
      <c r="M301" s="15" t="n"/>
      <c r="N301" s="15" t="n"/>
      <c r="O301" s="14" t="n"/>
      <c r="P301" s="14">
        <f>IF(OR(L301="",D301="",O301="납품완료",O301="취소"),"",IF(L301&lt;TODAY(),"지연",IF(L301-TODAY()&lt;=$L$1,"임박","")))</f>
        <v/>
      </c>
      <c r="Q301" s="14" t="n"/>
      <c r="R301" s="15" t="n"/>
      <c r="S301" s="18">
        <f>IF(F301="","",IF(COUNTIF(F$4:F301,F301)=1,MAX(S$3:S300)+1,""))</f>
        <v/>
      </c>
    </row>
    <row r="302">
      <c r="A302" s="12" t="n"/>
      <c r="B302" s="13" t="n"/>
      <c r="C302" s="14" t="n"/>
      <c r="D302" s="15" t="n"/>
      <c r="E302" s="15" t="n"/>
      <c r="F302" s="15" t="n"/>
      <c r="G302" s="15" t="n"/>
      <c r="H302" s="16" t="n"/>
      <c r="I302" s="14" t="n"/>
      <c r="J302" s="17" t="n"/>
      <c r="K302" s="17">
        <f>IF(OR(H302="",J302=""),"",H302*J302)</f>
        <v/>
      </c>
      <c r="L302" s="12" t="n"/>
      <c r="M302" s="15" t="n"/>
      <c r="N302" s="15" t="n"/>
      <c r="O302" s="14" t="n"/>
      <c r="P302" s="14">
        <f>IF(OR(L302="",D302="",O302="납품완료",O302="취소"),"",IF(L302&lt;TODAY(),"지연",IF(L302-TODAY()&lt;=$L$1,"임박","")))</f>
        <v/>
      </c>
      <c r="Q302" s="14" t="n"/>
      <c r="R302" s="15" t="n"/>
      <c r="S302" s="18">
        <f>IF(F302="","",IF(COUNTIF(F$4:F302,F302)=1,MAX(S$3:S301)+1,""))</f>
        <v/>
      </c>
    </row>
    <row r="303">
      <c r="A303" s="12" t="n"/>
      <c r="B303" s="13" t="n"/>
      <c r="C303" s="14" t="n"/>
      <c r="D303" s="15" t="n"/>
      <c r="E303" s="15" t="n"/>
      <c r="F303" s="15" t="n"/>
      <c r="G303" s="15" t="n"/>
      <c r="H303" s="16" t="n"/>
      <c r="I303" s="14" t="n"/>
      <c r="J303" s="17" t="n"/>
      <c r="K303" s="17">
        <f>IF(OR(H303="",J303=""),"",H303*J303)</f>
        <v/>
      </c>
      <c r="L303" s="12" t="n"/>
      <c r="M303" s="15" t="n"/>
      <c r="N303" s="15" t="n"/>
      <c r="O303" s="14" t="n"/>
      <c r="P303" s="14">
        <f>IF(OR(L303="",D303="",O303="납품완료",O303="취소"),"",IF(L303&lt;TODAY(),"지연",IF(L303-TODAY()&lt;=$L$1,"임박","")))</f>
        <v/>
      </c>
      <c r="Q303" s="14" t="n"/>
      <c r="R303" s="15" t="n"/>
      <c r="S303" s="18">
        <f>IF(F303="","",IF(COUNTIF(F$4:F303,F303)=1,MAX(S$3:S302)+1,""))</f>
        <v/>
      </c>
    </row>
    <row r="304">
      <c r="A304" s="12" t="n"/>
      <c r="B304" s="13" t="n"/>
      <c r="C304" s="14" t="n"/>
      <c r="D304" s="15" t="n"/>
      <c r="E304" s="15" t="n"/>
      <c r="F304" s="15" t="n"/>
      <c r="G304" s="15" t="n"/>
      <c r="H304" s="16" t="n"/>
      <c r="I304" s="14" t="n"/>
      <c r="J304" s="17" t="n"/>
      <c r="K304" s="17">
        <f>IF(OR(H304="",J304=""),"",H304*J304)</f>
        <v/>
      </c>
      <c r="L304" s="12" t="n"/>
      <c r="M304" s="15" t="n"/>
      <c r="N304" s="15" t="n"/>
      <c r="O304" s="14" t="n"/>
      <c r="P304" s="14">
        <f>IF(OR(L304="",D304="",O304="납품완료",O304="취소"),"",IF(L304&lt;TODAY(),"지연",IF(L304-TODAY()&lt;=$L$1,"임박","")))</f>
        <v/>
      </c>
      <c r="Q304" s="14" t="n"/>
      <c r="R304" s="15" t="n"/>
      <c r="S304" s="18">
        <f>IF(F304="","",IF(COUNTIF(F$4:F304,F304)=1,MAX(S$3:S303)+1,""))</f>
        <v/>
      </c>
    </row>
    <row r="305">
      <c r="A305" s="12" t="n"/>
      <c r="B305" s="13" t="n"/>
      <c r="C305" s="14" t="n"/>
      <c r="D305" s="15" t="n"/>
      <c r="E305" s="15" t="n"/>
      <c r="F305" s="15" t="n"/>
      <c r="G305" s="15" t="n"/>
      <c r="H305" s="16" t="n"/>
      <c r="I305" s="14" t="n"/>
      <c r="J305" s="17" t="n"/>
      <c r="K305" s="17">
        <f>IF(OR(H305="",J305=""),"",H305*J305)</f>
        <v/>
      </c>
      <c r="L305" s="12" t="n"/>
      <c r="M305" s="15" t="n"/>
      <c r="N305" s="15" t="n"/>
      <c r="O305" s="14" t="n"/>
      <c r="P305" s="14">
        <f>IF(OR(L305="",D305="",O305="납품완료",O305="취소"),"",IF(L305&lt;TODAY(),"지연",IF(L305-TODAY()&lt;=$L$1,"임박","")))</f>
        <v/>
      </c>
      <c r="Q305" s="14" t="n"/>
      <c r="R305" s="15" t="n"/>
      <c r="S305" s="18">
        <f>IF(F305="","",IF(COUNTIF(F$4:F305,F305)=1,MAX(S$3:S304)+1,""))</f>
        <v/>
      </c>
    </row>
    <row r="306">
      <c r="A306" s="12" t="n"/>
      <c r="B306" s="13" t="n"/>
      <c r="C306" s="14" t="n"/>
      <c r="D306" s="15" t="n"/>
      <c r="E306" s="15" t="n"/>
      <c r="F306" s="15" t="n"/>
      <c r="G306" s="15" t="n"/>
      <c r="H306" s="16" t="n"/>
      <c r="I306" s="14" t="n"/>
      <c r="J306" s="17" t="n"/>
      <c r="K306" s="17">
        <f>IF(OR(H306="",J306=""),"",H306*J306)</f>
        <v/>
      </c>
      <c r="L306" s="12" t="n"/>
      <c r="M306" s="15" t="n"/>
      <c r="N306" s="15" t="n"/>
      <c r="O306" s="14" t="n"/>
      <c r="P306" s="14">
        <f>IF(OR(L306="",D306="",O306="납품완료",O306="취소"),"",IF(L306&lt;TODAY(),"지연",IF(L306-TODAY()&lt;=$L$1,"임박","")))</f>
        <v/>
      </c>
      <c r="Q306" s="14" t="n"/>
      <c r="R306" s="15" t="n"/>
      <c r="S306" s="18">
        <f>IF(F306="","",IF(COUNTIF(F$4:F306,F306)=1,MAX(S$3:S305)+1,""))</f>
        <v/>
      </c>
    </row>
    <row r="307">
      <c r="A307" s="12" t="n"/>
      <c r="B307" s="13" t="n"/>
      <c r="C307" s="14" t="n"/>
      <c r="D307" s="15" t="n"/>
      <c r="E307" s="15" t="n"/>
      <c r="F307" s="15" t="n"/>
      <c r="G307" s="15" t="n"/>
      <c r="H307" s="16" t="n"/>
      <c r="I307" s="14" t="n"/>
      <c r="J307" s="17" t="n"/>
      <c r="K307" s="17">
        <f>IF(OR(H307="",J307=""),"",H307*J307)</f>
        <v/>
      </c>
      <c r="L307" s="12" t="n"/>
      <c r="M307" s="15" t="n"/>
      <c r="N307" s="15" t="n"/>
      <c r="O307" s="14" t="n"/>
      <c r="P307" s="14">
        <f>IF(OR(L307="",D307="",O307="납품완료",O307="취소"),"",IF(L307&lt;TODAY(),"지연",IF(L307-TODAY()&lt;=$L$1,"임박","")))</f>
        <v/>
      </c>
      <c r="Q307" s="14" t="n"/>
      <c r="R307" s="15" t="n"/>
      <c r="S307" s="18">
        <f>IF(F307="","",IF(COUNTIF(F$4:F307,F307)=1,MAX(S$3:S306)+1,""))</f>
        <v/>
      </c>
    </row>
    <row r="308">
      <c r="A308" s="12" t="n"/>
      <c r="B308" s="13" t="n"/>
      <c r="C308" s="14" t="n"/>
      <c r="D308" s="15" t="n"/>
      <c r="E308" s="15" t="n"/>
      <c r="F308" s="15" t="n"/>
      <c r="G308" s="15" t="n"/>
      <c r="H308" s="16" t="n"/>
      <c r="I308" s="14" t="n"/>
      <c r="J308" s="17" t="n"/>
      <c r="K308" s="17">
        <f>IF(OR(H308="",J308=""),"",H308*J308)</f>
        <v/>
      </c>
      <c r="L308" s="12" t="n"/>
      <c r="M308" s="15" t="n"/>
      <c r="N308" s="15" t="n"/>
      <c r="O308" s="14" t="n"/>
      <c r="P308" s="14">
        <f>IF(OR(L308="",D308="",O308="납품완료",O308="취소"),"",IF(L308&lt;TODAY(),"지연",IF(L308-TODAY()&lt;=$L$1,"임박","")))</f>
        <v/>
      </c>
      <c r="Q308" s="14" t="n"/>
      <c r="R308" s="15" t="n"/>
      <c r="S308" s="18">
        <f>IF(F308="","",IF(COUNTIF(F$4:F308,F308)=1,MAX(S$3:S307)+1,""))</f>
        <v/>
      </c>
    </row>
    <row r="309">
      <c r="A309" s="12" t="n"/>
      <c r="B309" s="13" t="n"/>
      <c r="C309" s="14" t="n"/>
      <c r="D309" s="15" t="n"/>
      <c r="E309" s="15" t="n"/>
      <c r="F309" s="15" t="n"/>
      <c r="G309" s="15" t="n"/>
      <c r="H309" s="16" t="n"/>
      <c r="I309" s="14" t="n"/>
      <c r="J309" s="17" t="n"/>
      <c r="K309" s="17">
        <f>IF(OR(H309="",J309=""),"",H309*J309)</f>
        <v/>
      </c>
      <c r="L309" s="12" t="n"/>
      <c r="M309" s="15" t="n"/>
      <c r="N309" s="15" t="n"/>
      <c r="O309" s="14" t="n"/>
      <c r="P309" s="14">
        <f>IF(OR(L309="",D309="",O309="납품완료",O309="취소"),"",IF(L309&lt;TODAY(),"지연",IF(L309-TODAY()&lt;=$L$1,"임박","")))</f>
        <v/>
      </c>
      <c r="Q309" s="14" t="n"/>
      <c r="R309" s="15" t="n"/>
      <c r="S309" s="18">
        <f>IF(F309="","",IF(COUNTIF(F$4:F309,F309)=1,MAX(S$3:S308)+1,""))</f>
        <v/>
      </c>
    </row>
    <row r="310">
      <c r="A310" s="12" t="n"/>
      <c r="B310" s="13" t="n"/>
      <c r="C310" s="14" t="n"/>
      <c r="D310" s="15" t="n"/>
      <c r="E310" s="15" t="n"/>
      <c r="F310" s="15" t="n"/>
      <c r="G310" s="15" t="n"/>
      <c r="H310" s="16" t="n"/>
      <c r="I310" s="14" t="n"/>
      <c r="J310" s="17" t="n"/>
      <c r="K310" s="17">
        <f>IF(OR(H310="",J310=""),"",H310*J310)</f>
        <v/>
      </c>
      <c r="L310" s="12" t="n"/>
      <c r="M310" s="15" t="n"/>
      <c r="N310" s="15" t="n"/>
      <c r="O310" s="14" t="n"/>
      <c r="P310" s="14">
        <f>IF(OR(L310="",D310="",O310="납품완료",O310="취소"),"",IF(L310&lt;TODAY(),"지연",IF(L310-TODAY()&lt;=$L$1,"임박","")))</f>
        <v/>
      </c>
      <c r="Q310" s="14" t="n"/>
      <c r="R310" s="15" t="n"/>
      <c r="S310" s="18">
        <f>IF(F310="","",IF(COUNTIF(F$4:F310,F310)=1,MAX(S$3:S309)+1,""))</f>
        <v/>
      </c>
    </row>
    <row r="311">
      <c r="A311" s="12" t="n"/>
      <c r="B311" s="13" t="n"/>
      <c r="C311" s="14" t="n"/>
      <c r="D311" s="15" t="n"/>
      <c r="E311" s="15" t="n"/>
      <c r="F311" s="15" t="n"/>
      <c r="G311" s="15" t="n"/>
      <c r="H311" s="16" t="n"/>
      <c r="I311" s="14" t="n"/>
      <c r="J311" s="17" t="n"/>
      <c r="K311" s="17">
        <f>IF(OR(H311="",J311=""),"",H311*J311)</f>
        <v/>
      </c>
      <c r="L311" s="12" t="n"/>
      <c r="M311" s="15" t="n"/>
      <c r="N311" s="15" t="n"/>
      <c r="O311" s="14" t="n"/>
      <c r="P311" s="14">
        <f>IF(OR(L311="",D311="",O311="납품완료",O311="취소"),"",IF(L311&lt;TODAY(),"지연",IF(L311-TODAY()&lt;=$L$1,"임박","")))</f>
        <v/>
      </c>
      <c r="Q311" s="14" t="n"/>
      <c r="R311" s="15" t="n"/>
      <c r="S311" s="18">
        <f>IF(F311="","",IF(COUNTIF(F$4:F311,F311)=1,MAX(S$3:S310)+1,""))</f>
        <v/>
      </c>
    </row>
    <row r="312">
      <c r="A312" s="12" t="n"/>
      <c r="B312" s="13" t="n"/>
      <c r="C312" s="14" t="n"/>
      <c r="D312" s="15" t="n"/>
      <c r="E312" s="15" t="n"/>
      <c r="F312" s="15" t="n"/>
      <c r="G312" s="15" t="n"/>
      <c r="H312" s="16" t="n"/>
      <c r="I312" s="14" t="n"/>
      <c r="J312" s="17" t="n"/>
      <c r="K312" s="17">
        <f>IF(OR(H312="",J312=""),"",H312*J312)</f>
        <v/>
      </c>
      <c r="L312" s="12" t="n"/>
      <c r="M312" s="15" t="n"/>
      <c r="N312" s="15" t="n"/>
      <c r="O312" s="14" t="n"/>
      <c r="P312" s="14">
        <f>IF(OR(L312="",D312="",O312="납품완료",O312="취소"),"",IF(L312&lt;TODAY(),"지연",IF(L312-TODAY()&lt;=$L$1,"임박","")))</f>
        <v/>
      </c>
      <c r="Q312" s="14" t="n"/>
      <c r="R312" s="15" t="n"/>
      <c r="S312" s="18">
        <f>IF(F312="","",IF(COUNTIF(F$4:F312,F312)=1,MAX(S$3:S311)+1,""))</f>
        <v/>
      </c>
    </row>
    <row r="313">
      <c r="A313" s="12" t="n"/>
      <c r="B313" s="13" t="n"/>
      <c r="C313" s="14" t="n"/>
      <c r="D313" s="15" t="n"/>
      <c r="E313" s="15" t="n"/>
      <c r="F313" s="15" t="n"/>
      <c r="G313" s="15" t="n"/>
      <c r="H313" s="16" t="n"/>
      <c r="I313" s="14" t="n"/>
      <c r="J313" s="17" t="n"/>
      <c r="K313" s="17">
        <f>IF(OR(H313="",J313=""),"",H313*J313)</f>
        <v/>
      </c>
      <c r="L313" s="12" t="n"/>
      <c r="M313" s="15" t="n"/>
      <c r="N313" s="15" t="n"/>
      <c r="O313" s="14" t="n"/>
      <c r="P313" s="14">
        <f>IF(OR(L313="",D313="",O313="납품완료",O313="취소"),"",IF(L313&lt;TODAY(),"지연",IF(L313-TODAY()&lt;=$L$1,"임박","")))</f>
        <v/>
      </c>
      <c r="Q313" s="14" t="n"/>
      <c r="R313" s="15" t="n"/>
      <c r="S313" s="18">
        <f>IF(F313="","",IF(COUNTIF(F$4:F313,F313)=1,MAX(S$3:S312)+1,""))</f>
        <v/>
      </c>
    </row>
    <row r="314">
      <c r="A314" s="12" t="n"/>
      <c r="B314" s="13" t="n"/>
      <c r="C314" s="14" t="n"/>
      <c r="D314" s="15" t="n"/>
      <c r="E314" s="15" t="n"/>
      <c r="F314" s="15" t="n"/>
      <c r="G314" s="15" t="n"/>
      <c r="H314" s="16" t="n"/>
      <c r="I314" s="14" t="n"/>
      <c r="J314" s="17" t="n"/>
      <c r="K314" s="17">
        <f>IF(OR(H314="",J314=""),"",H314*J314)</f>
        <v/>
      </c>
      <c r="L314" s="12" t="n"/>
      <c r="M314" s="15" t="n"/>
      <c r="N314" s="15" t="n"/>
      <c r="O314" s="14" t="n"/>
      <c r="P314" s="14">
        <f>IF(OR(L314="",D314="",O314="납품완료",O314="취소"),"",IF(L314&lt;TODAY(),"지연",IF(L314-TODAY()&lt;=$L$1,"임박","")))</f>
        <v/>
      </c>
      <c r="Q314" s="14" t="n"/>
      <c r="R314" s="15" t="n"/>
      <c r="S314" s="18">
        <f>IF(F314="","",IF(COUNTIF(F$4:F314,F314)=1,MAX(S$3:S313)+1,""))</f>
        <v/>
      </c>
    </row>
    <row r="315">
      <c r="A315" s="12" t="n"/>
      <c r="B315" s="13" t="n"/>
      <c r="C315" s="14" t="n"/>
      <c r="D315" s="15" t="n"/>
      <c r="E315" s="15" t="n"/>
      <c r="F315" s="15" t="n"/>
      <c r="G315" s="15" t="n"/>
      <c r="H315" s="16" t="n"/>
      <c r="I315" s="14" t="n"/>
      <c r="J315" s="17" t="n"/>
      <c r="K315" s="17">
        <f>IF(OR(H315="",J315=""),"",H315*J315)</f>
        <v/>
      </c>
      <c r="L315" s="12" t="n"/>
      <c r="M315" s="15" t="n"/>
      <c r="N315" s="15" t="n"/>
      <c r="O315" s="14" t="n"/>
      <c r="P315" s="14">
        <f>IF(OR(L315="",D315="",O315="납품완료",O315="취소"),"",IF(L315&lt;TODAY(),"지연",IF(L315-TODAY()&lt;=$L$1,"임박","")))</f>
        <v/>
      </c>
      <c r="Q315" s="14" t="n"/>
      <c r="R315" s="15" t="n"/>
      <c r="S315" s="18">
        <f>IF(F315="","",IF(COUNTIF(F$4:F315,F315)=1,MAX(S$3:S314)+1,""))</f>
        <v/>
      </c>
    </row>
    <row r="316">
      <c r="A316" s="12" t="n"/>
      <c r="B316" s="13" t="n"/>
      <c r="C316" s="14" t="n"/>
      <c r="D316" s="15" t="n"/>
      <c r="E316" s="15" t="n"/>
      <c r="F316" s="15" t="n"/>
      <c r="G316" s="15" t="n"/>
      <c r="H316" s="16" t="n"/>
      <c r="I316" s="14" t="n"/>
      <c r="J316" s="17" t="n"/>
      <c r="K316" s="17">
        <f>IF(OR(H316="",J316=""),"",H316*J316)</f>
        <v/>
      </c>
      <c r="L316" s="12" t="n"/>
      <c r="M316" s="15" t="n"/>
      <c r="N316" s="15" t="n"/>
      <c r="O316" s="14" t="n"/>
      <c r="P316" s="14">
        <f>IF(OR(L316="",D316="",O316="납품완료",O316="취소"),"",IF(L316&lt;TODAY(),"지연",IF(L316-TODAY()&lt;=$L$1,"임박","")))</f>
        <v/>
      </c>
      <c r="Q316" s="14" t="n"/>
      <c r="R316" s="15" t="n"/>
      <c r="S316" s="18">
        <f>IF(F316="","",IF(COUNTIF(F$4:F316,F316)=1,MAX(S$3:S315)+1,""))</f>
        <v/>
      </c>
    </row>
    <row r="317">
      <c r="A317" s="12" t="n"/>
      <c r="B317" s="13" t="n"/>
      <c r="C317" s="14" t="n"/>
      <c r="D317" s="15" t="n"/>
      <c r="E317" s="15" t="n"/>
      <c r="F317" s="15" t="n"/>
      <c r="G317" s="15" t="n"/>
      <c r="H317" s="16" t="n"/>
      <c r="I317" s="14" t="n"/>
      <c r="J317" s="17" t="n"/>
      <c r="K317" s="17">
        <f>IF(OR(H317="",J317=""),"",H317*J317)</f>
        <v/>
      </c>
      <c r="L317" s="12" t="n"/>
      <c r="M317" s="15" t="n"/>
      <c r="N317" s="15" t="n"/>
      <c r="O317" s="14" t="n"/>
      <c r="P317" s="14">
        <f>IF(OR(L317="",D317="",O317="납품완료",O317="취소"),"",IF(L317&lt;TODAY(),"지연",IF(L317-TODAY()&lt;=$L$1,"임박","")))</f>
        <v/>
      </c>
      <c r="Q317" s="14" t="n"/>
      <c r="R317" s="15" t="n"/>
      <c r="S317" s="18">
        <f>IF(F317="","",IF(COUNTIF(F$4:F317,F317)=1,MAX(S$3:S316)+1,""))</f>
        <v/>
      </c>
    </row>
    <row r="318">
      <c r="A318" s="12" t="n"/>
      <c r="B318" s="13" t="n"/>
      <c r="C318" s="14" t="n"/>
      <c r="D318" s="15" t="n"/>
      <c r="E318" s="15" t="n"/>
      <c r="F318" s="15" t="n"/>
      <c r="G318" s="15" t="n"/>
      <c r="H318" s="16" t="n"/>
      <c r="I318" s="14" t="n"/>
      <c r="J318" s="17" t="n"/>
      <c r="K318" s="17">
        <f>IF(OR(H318="",J318=""),"",H318*J318)</f>
        <v/>
      </c>
      <c r="L318" s="12" t="n"/>
      <c r="M318" s="15" t="n"/>
      <c r="N318" s="15" t="n"/>
      <c r="O318" s="14" t="n"/>
      <c r="P318" s="14">
        <f>IF(OR(L318="",D318="",O318="납품완료",O318="취소"),"",IF(L318&lt;TODAY(),"지연",IF(L318-TODAY()&lt;=$L$1,"임박","")))</f>
        <v/>
      </c>
      <c r="Q318" s="14" t="n"/>
      <c r="R318" s="15" t="n"/>
      <c r="S318" s="18">
        <f>IF(F318="","",IF(COUNTIF(F$4:F318,F318)=1,MAX(S$3:S317)+1,""))</f>
        <v/>
      </c>
    </row>
    <row r="319">
      <c r="A319" s="12" t="n"/>
      <c r="B319" s="13" t="n"/>
      <c r="C319" s="14" t="n"/>
      <c r="D319" s="15" t="n"/>
      <c r="E319" s="15" t="n"/>
      <c r="F319" s="15" t="n"/>
      <c r="G319" s="15" t="n"/>
      <c r="H319" s="16" t="n"/>
      <c r="I319" s="14" t="n"/>
      <c r="J319" s="17" t="n"/>
      <c r="K319" s="17">
        <f>IF(OR(H319="",J319=""),"",H319*J319)</f>
        <v/>
      </c>
      <c r="L319" s="12" t="n"/>
      <c r="M319" s="15" t="n"/>
      <c r="N319" s="15" t="n"/>
      <c r="O319" s="14" t="n"/>
      <c r="P319" s="14">
        <f>IF(OR(L319="",D319="",O319="납품완료",O319="취소"),"",IF(L319&lt;TODAY(),"지연",IF(L319-TODAY()&lt;=$L$1,"임박","")))</f>
        <v/>
      </c>
      <c r="Q319" s="14" t="n"/>
      <c r="R319" s="15" t="n"/>
      <c r="S319" s="18">
        <f>IF(F319="","",IF(COUNTIF(F$4:F319,F319)=1,MAX(S$3:S318)+1,""))</f>
        <v/>
      </c>
    </row>
    <row r="320">
      <c r="A320" s="12" t="n"/>
      <c r="B320" s="13" t="n"/>
      <c r="C320" s="14" t="n"/>
      <c r="D320" s="15" t="n"/>
      <c r="E320" s="15" t="n"/>
      <c r="F320" s="15" t="n"/>
      <c r="G320" s="15" t="n"/>
      <c r="H320" s="16" t="n"/>
      <c r="I320" s="14" t="n"/>
      <c r="J320" s="17" t="n"/>
      <c r="K320" s="17">
        <f>IF(OR(H320="",J320=""),"",H320*J320)</f>
        <v/>
      </c>
      <c r="L320" s="12" t="n"/>
      <c r="M320" s="15" t="n"/>
      <c r="N320" s="15" t="n"/>
      <c r="O320" s="14" t="n"/>
      <c r="P320" s="14">
        <f>IF(OR(L320="",D320="",O320="납품완료",O320="취소"),"",IF(L320&lt;TODAY(),"지연",IF(L320-TODAY()&lt;=$L$1,"임박","")))</f>
        <v/>
      </c>
      <c r="Q320" s="14" t="n"/>
      <c r="R320" s="15" t="n"/>
      <c r="S320" s="18">
        <f>IF(F320="","",IF(COUNTIF(F$4:F320,F320)=1,MAX(S$3:S319)+1,""))</f>
        <v/>
      </c>
    </row>
    <row r="321">
      <c r="A321" s="12" t="n"/>
      <c r="B321" s="13" t="n"/>
      <c r="C321" s="14" t="n"/>
      <c r="D321" s="15" t="n"/>
      <c r="E321" s="15" t="n"/>
      <c r="F321" s="15" t="n"/>
      <c r="G321" s="15" t="n"/>
      <c r="H321" s="16" t="n"/>
      <c r="I321" s="14" t="n"/>
      <c r="J321" s="17" t="n"/>
      <c r="K321" s="17">
        <f>IF(OR(H321="",J321=""),"",H321*J321)</f>
        <v/>
      </c>
      <c r="L321" s="12" t="n"/>
      <c r="M321" s="15" t="n"/>
      <c r="N321" s="15" t="n"/>
      <c r="O321" s="14" t="n"/>
      <c r="P321" s="14">
        <f>IF(OR(L321="",D321="",O321="납품완료",O321="취소"),"",IF(L321&lt;TODAY(),"지연",IF(L321-TODAY()&lt;=$L$1,"임박","")))</f>
        <v/>
      </c>
      <c r="Q321" s="14" t="n"/>
      <c r="R321" s="15" t="n"/>
      <c r="S321" s="18">
        <f>IF(F321="","",IF(COUNTIF(F$4:F321,F321)=1,MAX(S$3:S320)+1,""))</f>
        <v/>
      </c>
    </row>
    <row r="322">
      <c r="A322" s="12" t="n"/>
      <c r="B322" s="13" t="n"/>
      <c r="C322" s="14" t="n"/>
      <c r="D322" s="15" t="n"/>
      <c r="E322" s="15" t="n"/>
      <c r="F322" s="15" t="n"/>
      <c r="G322" s="15" t="n"/>
      <c r="H322" s="16" t="n"/>
      <c r="I322" s="14" t="n"/>
      <c r="J322" s="17" t="n"/>
      <c r="K322" s="17">
        <f>IF(OR(H322="",J322=""),"",H322*J322)</f>
        <v/>
      </c>
      <c r="L322" s="12" t="n"/>
      <c r="M322" s="15" t="n"/>
      <c r="N322" s="15" t="n"/>
      <c r="O322" s="14" t="n"/>
      <c r="P322" s="14">
        <f>IF(OR(L322="",D322="",O322="납품완료",O322="취소"),"",IF(L322&lt;TODAY(),"지연",IF(L322-TODAY()&lt;=$L$1,"임박","")))</f>
        <v/>
      </c>
      <c r="Q322" s="14" t="n"/>
      <c r="R322" s="15" t="n"/>
      <c r="S322" s="18">
        <f>IF(F322="","",IF(COUNTIF(F$4:F322,F322)=1,MAX(S$3:S321)+1,""))</f>
        <v/>
      </c>
    </row>
    <row r="323">
      <c r="A323" s="12" t="n"/>
      <c r="B323" s="13" t="n"/>
      <c r="C323" s="14" t="n"/>
      <c r="D323" s="15" t="n"/>
      <c r="E323" s="15" t="n"/>
      <c r="F323" s="15" t="n"/>
      <c r="G323" s="15" t="n"/>
      <c r="H323" s="16" t="n"/>
      <c r="I323" s="14" t="n"/>
      <c r="J323" s="17" t="n"/>
      <c r="K323" s="17">
        <f>IF(OR(H323="",J323=""),"",H323*J323)</f>
        <v/>
      </c>
      <c r="L323" s="12" t="n"/>
      <c r="M323" s="15" t="n"/>
      <c r="N323" s="15" t="n"/>
      <c r="O323" s="14" t="n"/>
      <c r="P323" s="14">
        <f>IF(OR(L323="",D323="",O323="납품완료",O323="취소"),"",IF(L323&lt;TODAY(),"지연",IF(L323-TODAY()&lt;=$L$1,"임박","")))</f>
        <v/>
      </c>
      <c r="Q323" s="14" t="n"/>
      <c r="R323" s="15" t="n"/>
      <c r="S323" s="18">
        <f>IF(F323="","",IF(COUNTIF(F$4:F323,F323)=1,MAX(S$3:S322)+1,""))</f>
        <v/>
      </c>
    </row>
    <row r="324">
      <c r="A324" s="12" t="n"/>
      <c r="B324" s="13" t="n"/>
      <c r="C324" s="14" t="n"/>
      <c r="D324" s="15" t="n"/>
      <c r="E324" s="15" t="n"/>
      <c r="F324" s="15" t="n"/>
      <c r="G324" s="15" t="n"/>
      <c r="H324" s="16" t="n"/>
      <c r="I324" s="14" t="n"/>
      <c r="J324" s="17" t="n"/>
      <c r="K324" s="17">
        <f>IF(OR(H324="",J324=""),"",H324*J324)</f>
        <v/>
      </c>
      <c r="L324" s="12" t="n"/>
      <c r="M324" s="15" t="n"/>
      <c r="N324" s="15" t="n"/>
      <c r="O324" s="14" t="n"/>
      <c r="P324" s="14">
        <f>IF(OR(L324="",D324="",O324="납품완료",O324="취소"),"",IF(L324&lt;TODAY(),"지연",IF(L324-TODAY()&lt;=$L$1,"임박","")))</f>
        <v/>
      </c>
      <c r="Q324" s="14" t="n"/>
      <c r="R324" s="15" t="n"/>
      <c r="S324" s="18">
        <f>IF(F324="","",IF(COUNTIF(F$4:F324,F324)=1,MAX(S$3:S323)+1,""))</f>
        <v/>
      </c>
    </row>
    <row r="325">
      <c r="A325" s="12" t="n"/>
      <c r="B325" s="13" t="n"/>
      <c r="C325" s="14" t="n"/>
      <c r="D325" s="15" t="n"/>
      <c r="E325" s="15" t="n"/>
      <c r="F325" s="15" t="n"/>
      <c r="G325" s="15" t="n"/>
      <c r="H325" s="16" t="n"/>
      <c r="I325" s="14" t="n"/>
      <c r="J325" s="17" t="n"/>
      <c r="K325" s="17">
        <f>IF(OR(H325="",J325=""),"",H325*J325)</f>
        <v/>
      </c>
      <c r="L325" s="12" t="n"/>
      <c r="M325" s="15" t="n"/>
      <c r="N325" s="15" t="n"/>
      <c r="O325" s="14" t="n"/>
      <c r="P325" s="14">
        <f>IF(OR(L325="",D325="",O325="납품완료",O325="취소"),"",IF(L325&lt;TODAY(),"지연",IF(L325-TODAY()&lt;=$L$1,"임박","")))</f>
        <v/>
      </c>
      <c r="Q325" s="14" t="n"/>
      <c r="R325" s="15" t="n"/>
      <c r="S325" s="18">
        <f>IF(F325="","",IF(COUNTIF(F$4:F325,F325)=1,MAX(S$3:S324)+1,""))</f>
        <v/>
      </c>
    </row>
    <row r="326">
      <c r="A326" s="12" t="n"/>
      <c r="B326" s="13" t="n"/>
      <c r="C326" s="14" t="n"/>
      <c r="D326" s="15" t="n"/>
      <c r="E326" s="15" t="n"/>
      <c r="F326" s="15" t="n"/>
      <c r="G326" s="15" t="n"/>
      <c r="H326" s="16" t="n"/>
      <c r="I326" s="14" t="n"/>
      <c r="J326" s="17" t="n"/>
      <c r="K326" s="17">
        <f>IF(OR(H326="",J326=""),"",H326*J326)</f>
        <v/>
      </c>
      <c r="L326" s="12" t="n"/>
      <c r="M326" s="15" t="n"/>
      <c r="N326" s="15" t="n"/>
      <c r="O326" s="14" t="n"/>
      <c r="P326" s="14">
        <f>IF(OR(L326="",D326="",O326="납품완료",O326="취소"),"",IF(L326&lt;TODAY(),"지연",IF(L326-TODAY()&lt;=$L$1,"임박","")))</f>
        <v/>
      </c>
      <c r="Q326" s="14" t="n"/>
      <c r="R326" s="15" t="n"/>
      <c r="S326" s="18">
        <f>IF(F326="","",IF(COUNTIF(F$4:F326,F326)=1,MAX(S$3:S325)+1,""))</f>
        <v/>
      </c>
    </row>
    <row r="327">
      <c r="A327" s="12" t="n"/>
      <c r="B327" s="13" t="n"/>
      <c r="C327" s="14" t="n"/>
      <c r="D327" s="15" t="n"/>
      <c r="E327" s="15" t="n"/>
      <c r="F327" s="15" t="n"/>
      <c r="G327" s="15" t="n"/>
      <c r="H327" s="16" t="n"/>
      <c r="I327" s="14" t="n"/>
      <c r="J327" s="17" t="n"/>
      <c r="K327" s="17">
        <f>IF(OR(H327="",J327=""),"",H327*J327)</f>
        <v/>
      </c>
      <c r="L327" s="12" t="n"/>
      <c r="M327" s="15" t="n"/>
      <c r="N327" s="15" t="n"/>
      <c r="O327" s="14" t="n"/>
      <c r="P327" s="14">
        <f>IF(OR(L327="",D327="",O327="납품완료",O327="취소"),"",IF(L327&lt;TODAY(),"지연",IF(L327-TODAY()&lt;=$L$1,"임박","")))</f>
        <v/>
      </c>
      <c r="Q327" s="14" t="n"/>
      <c r="R327" s="15" t="n"/>
      <c r="S327" s="18">
        <f>IF(F327="","",IF(COUNTIF(F$4:F327,F327)=1,MAX(S$3:S326)+1,""))</f>
        <v/>
      </c>
    </row>
    <row r="328">
      <c r="A328" s="12" t="n"/>
      <c r="B328" s="13" t="n"/>
      <c r="C328" s="14" t="n"/>
      <c r="D328" s="15" t="n"/>
      <c r="E328" s="15" t="n"/>
      <c r="F328" s="15" t="n"/>
      <c r="G328" s="15" t="n"/>
      <c r="H328" s="16" t="n"/>
      <c r="I328" s="14" t="n"/>
      <c r="J328" s="17" t="n"/>
      <c r="K328" s="17">
        <f>IF(OR(H328="",J328=""),"",H328*J328)</f>
        <v/>
      </c>
      <c r="L328" s="12" t="n"/>
      <c r="M328" s="15" t="n"/>
      <c r="N328" s="15" t="n"/>
      <c r="O328" s="14" t="n"/>
      <c r="P328" s="14">
        <f>IF(OR(L328="",D328="",O328="납품완료",O328="취소"),"",IF(L328&lt;TODAY(),"지연",IF(L328-TODAY()&lt;=$L$1,"임박","")))</f>
        <v/>
      </c>
      <c r="Q328" s="14" t="n"/>
      <c r="R328" s="15" t="n"/>
      <c r="S328" s="18">
        <f>IF(F328="","",IF(COUNTIF(F$4:F328,F328)=1,MAX(S$3:S327)+1,""))</f>
        <v/>
      </c>
    </row>
    <row r="329">
      <c r="A329" s="12" t="n"/>
      <c r="B329" s="13" t="n"/>
      <c r="C329" s="14" t="n"/>
      <c r="D329" s="15" t="n"/>
      <c r="E329" s="15" t="n"/>
      <c r="F329" s="15" t="n"/>
      <c r="G329" s="15" t="n"/>
      <c r="H329" s="16" t="n"/>
      <c r="I329" s="14" t="n"/>
      <c r="J329" s="17" t="n"/>
      <c r="K329" s="17">
        <f>IF(OR(H329="",J329=""),"",H329*J329)</f>
        <v/>
      </c>
      <c r="L329" s="12" t="n"/>
      <c r="M329" s="15" t="n"/>
      <c r="N329" s="15" t="n"/>
      <c r="O329" s="14" t="n"/>
      <c r="P329" s="14">
        <f>IF(OR(L329="",D329="",O329="납품완료",O329="취소"),"",IF(L329&lt;TODAY(),"지연",IF(L329-TODAY()&lt;=$L$1,"임박","")))</f>
        <v/>
      </c>
      <c r="Q329" s="14" t="n"/>
      <c r="R329" s="15" t="n"/>
      <c r="S329" s="18">
        <f>IF(F329="","",IF(COUNTIF(F$4:F329,F329)=1,MAX(S$3:S328)+1,""))</f>
        <v/>
      </c>
    </row>
    <row r="330">
      <c r="A330" s="12" t="n"/>
      <c r="B330" s="13" t="n"/>
      <c r="C330" s="14" t="n"/>
      <c r="D330" s="15" t="n"/>
      <c r="E330" s="15" t="n"/>
      <c r="F330" s="15" t="n"/>
      <c r="G330" s="15" t="n"/>
      <c r="H330" s="16" t="n"/>
      <c r="I330" s="14" t="n"/>
      <c r="J330" s="17" t="n"/>
      <c r="K330" s="17">
        <f>IF(OR(H330="",J330=""),"",H330*J330)</f>
        <v/>
      </c>
      <c r="L330" s="12" t="n"/>
      <c r="M330" s="15" t="n"/>
      <c r="N330" s="15" t="n"/>
      <c r="O330" s="14" t="n"/>
      <c r="P330" s="14">
        <f>IF(OR(L330="",D330="",O330="납품완료",O330="취소"),"",IF(L330&lt;TODAY(),"지연",IF(L330-TODAY()&lt;=$L$1,"임박","")))</f>
        <v/>
      </c>
      <c r="Q330" s="14" t="n"/>
      <c r="R330" s="15" t="n"/>
      <c r="S330" s="18">
        <f>IF(F330="","",IF(COUNTIF(F$4:F330,F330)=1,MAX(S$3:S329)+1,""))</f>
        <v/>
      </c>
    </row>
    <row r="331">
      <c r="A331" s="12" t="n"/>
      <c r="B331" s="13" t="n"/>
      <c r="C331" s="14" t="n"/>
      <c r="D331" s="15" t="n"/>
      <c r="E331" s="15" t="n"/>
      <c r="F331" s="15" t="n"/>
      <c r="G331" s="15" t="n"/>
      <c r="H331" s="16" t="n"/>
      <c r="I331" s="14" t="n"/>
      <c r="J331" s="17" t="n"/>
      <c r="K331" s="17">
        <f>IF(OR(H331="",J331=""),"",H331*J331)</f>
        <v/>
      </c>
      <c r="L331" s="12" t="n"/>
      <c r="M331" s="15" t="n"/>
      <c r="N331" s="15" t="n"/>
      <c r="O331" s="14" t="n"/>
      <c r="P331" s="14">
        <f>IF(OR(L331="",D331="",O331="납품완료",O331="취소"),"",IF(L331&lt;TODAY(),"지연",IF(L331-TODAY()&lt;=$L$1,"임박","")))</f>
        <v/>
      </c>
      <c r="Q331" s="14" t="n"/>
      <c r="R331" s="15" t="n"/>
      <c r="S331" s="18">
        <f>IF(F331="","",IF(COUNTIF(F$4:F331,F331)=1,MAX(S$3:S330)+1,""))</f>
        <v/>
      </c>
    </row>
    <row r="332">
      <c r="A332" s="12" t="n"/>
      <c r="B332" s="13" t="n"/>
      <c r="C332" s="14" t="n"/>
      <c r="D332" s="15" t="n"/>
      <c r="E332" s="15" t="n"/>
      <c r="F332" s="15" t="n"/>
      <c r="G332" s="15" t="n"/>
      <c r="H332" s="16" t="n"/>
      <c r="I332" s="14" t="n"/>
      <c r="J332" s="17" t="n"/>
      <c r="K332" s="17">
        <f>IF(OR(H332="",J332=""),"",H332*J332)</f>
        <v/>
      </c>
      <c r="L332" s="12" t="n"/>
      <c r="M332" s="15" t="n"/>
      <c r="N332" s="15" t="n"/>
      <c r="O332" s="14" t="n"/>
      <c r="P332" s="14">
        <f>IF(OR(L332="",D332="",O332="납품완료",O332="취소"),"",IF(L332&lt;TODAY(),"지연",IF(L332-TODAY()&lt;=$L$1,"임박","")))</f>
        <v/>
      </c>
      <c r="Q332" s="14" t="n"/>
      <c r="R332" s="15" t="n"/>
      <c r="S332" s="18">
        <f>IF(F332="","",IF(COUNTIF(F$4:F332,F332)=1,MAX(S$3:S331)+1,""))</f>
        <v/>
      </c>
    </row>
    <row r="333">
      <c r="A333" s="12" t="n"/>
      <c r="B333" s="13" t="n"/>
      <c r="C333" s="14" t="n"/>
      <c r="D333" s="15" t="n"/>
      <c r="E333" s="15" t="n"/>
      <c r="F333" s="15" t="n"/>
      <c r="G333" s="15" t="n"/>
      <c r="H333" s="16" t="n"/>
      <c r="I333" s="14" t="n"/>
      <c r="J333" s="17" t="n"/>
      <c r="K333" s="17">
        <f>IF(OR(H333="",J333=""),"",H333*J333)</f>
        <v/>
      </c>
      <c r="L333" s="12" t="n"/>
      <c r="M333" s="15" t="n"/>
      <c r="N333" s="15" t="n"/>
      <c r="O333" s="14" t="n"/>
      <c r="P333" s="14">
        <f>IF(OR(L333="",D333="",O333="납품완료",O333="취소"),"",IF(L333&lt;TODAY(),"지연",IF(L333-TODAY()&lt;=$L$1,"임박","")))</f>
        <v/>
      </c>
      <c r="Q333" s="14" t="n"/>
      <c r="R333" s="15" t="n"/>
      <c r="S333" s="18">
        <f>IF(F333="","",IF(COUNTIF(F$4:F333,F333)=1,MAX(S$3:S332)+1,""))</f>
        <v/>
      </c>
    </row>
    <row r="334">
      <c r="A334" s="12" t="n"/>
      <c r="B334" s="13" t="n"/>
      <c r="C334" s="14" t="n"/>
      <c r="D334" s="15" t="n"/>
      <c r="E334" s="15" t="n"/>
      <c r="F334" s="15" t="n"/>
      <c r="G334" s="15" t="n"/>
      <c r="H334" s="16" t="n"/>
      <c r="I334" s="14" t="n"/>
      <c r="J334" s="17" t="n"/>
      <c r="K334" s="17">
        <f>IF(OR(H334="",J334=""),"",H334*J334)</f>
        <v/>
      </c>
      <c r="L334" s="12" t="n"/>
      <c r="M334" s="15" t="n"/>
      <c r="N334" s="15" t="n"/>
      <c r="O334" s="14" t="n"/>
      <c r="P334" s="14">
        <f>IF(OR(L334="",D334="",O334="납품완료",O334="취소"),"",IF(L334&lt;TODAY(),"지연",IF(L334-TODAY()&lt;=$L$1,"임박","")))</f>
        <v/>
      </c>
      <c r="Q334" s="14" t="n"/>
      <c r="R334" s="15" t="n"/>
      <c r="S334" s="18">
        <f>IF(F334="","",IF(COUNTIF(F$4:F334,F334)=1,MAX(S$3:S333)+1,""))</f>
        <v/>
      </c>
    </row>
    <row r="335">
      <c r="A335" s="12" t="n"/>
      <c r="B335" s="13" t="n"/>
      <c r="C335" s="14" t="n"/>
      <c r="D335" s="15" t="n"/>
      <c r="E335" s="15" t="n"/>
      <c r="F335" s="15" t="n"/>
      <c r="G335" s="15" t="n"/>
      <c r="H335" s="16" t="n"/>
      <c r="I335" s="14" t="n"/>
      <c r="J335" s="17" t="n"/>
      <c r="K335" s="17">
        <f>IF(OR(H335="",J335=""),"",H335*J335)</f>
        <v/>
      </c>
      <c r="L335" s="12" t="n"/>
      <c r="M335" s="15" t="n"/>
      <c r="N335" s="15" t="n"/>
      <c r="O335" s="14" t="n"/>
      <c r="P335" s="14">
        <f>IF(OR(L335="",D335="",O335="납품완료",O335="취소"),"",IF(L335&lt;TODAY(),"지연",IF(L335-TODAY()&lt;=$L$1,"임박","")))</f>
        <v/>
      </c>
      <c r="Q335" s="14" t="n"/>
      <c r="R335" s="15" t="n"/>
      <c r="S335" s="18">
        <f>IF(F335="","",IF(COUNTIF(F$4:F335,F335)=1,MAX(S$3:S334)+1,""))</f>
        <v/>
      </c>
    </row>
    <row r="336">
      <c r="A336" s="12" t="n"/>
      <c r="B336" s="13" t="n"/>
      <c r="C336" s="14" t="n"/>
      <c r="D336" s="15" t="n"/>
      <c r="E336" s="15" t="n"/>
      <c r="F336" s="15" t="n"/>
      <c r="G336" s="15" t="n"/>
      <c r="H336" s="16" t="n"/>
      <c r="I336" s="14" t="n"/>
      <c r="J336" s="17" t="n"/>
      <c r="K336" s="17">
        <f>IF(OR(H336="",J336=""),"",H336*J336)</f>
        <v/>
      </c>
      <c r="L336" s="12" t="n"/>
      <c r="M336" s="15" t="n"/>
      <c r="N336" s="15" t="n"/>
      <c r="O336" s="14" t="n"/>
      <c r="P336" s="14">
        <f>IF(OR(L336="",D336="",O336="납품완료",O336="취소"),"",IF(L336&lt;TODAY(),"지연",IF(L336-TODAY()&lt;=$L$1,"임박","")))</f>
        <v/>
      </c>
      <c r="Q336" s="14" t="n"/>
      <c r="R336" s="15" t="n"/>
      <c r="S336" s="18">
        <f>IF(F336="","",IF(COUNTIF(F$4:F336,F336)=1,MAX(S$3:S335)+1,""))</f>
        <v/>
      </c>
    </row>
    <row r="337">
      <c r="A337" s="12" t="n"/>
      <c r="B337" s="13" t="n"/>
      <c r="C337" s="14" t="n"/>
      <c r="D337" s="15" t="n"/>
      <c r="E337" s="15" t="n"/>
      <c r="F337" s="15" t="n"/>
      <c r="G337" s="15" t="n"/>
      <c r="H337" s="16" t="n"/>
      <c r="I337" s="14" t="n"/>
      <c r="J337" s="17" t="n"/>
      <c r="K337" s="17">
        <f>IF(OR(H337="",J337=""),"",H337*J337)</f>
        <v/>
      </c>
      <c r="L337" s="12" t="n"/>
      <c r="M337" s="15" t="n"/>
      <c r="N337" s="15" t="n"/>
      <c r="O337" s="14" t="n"/>
      <c r="P337" s="14">
        <f>IF(OR(L337="",D337="",O337="납품완료",O337="취소"),"",IF(L337&lt;TODAY(),"지연",IF(L337-TODAY()&lt;=$L$1,"임박","")))</f>
        <v/>
      </c>
      <c r="Q337" s="14" t="n"/>
      <c r="R337" s="15" t="n"/>
      <c r="S337" s="18">
        <f>IF(F337="","",IF(COUNTIF(F$4:F337,F337)=1,MAX(S$3:S336)+1,""))</f>
        <v/>
      </c>
    </row>
    <row r="338">
      <c r="A338" s="12" t="n"/>
      <c r="B338" s="13" t="n"/>
      <c r="C338" s="14" t="n"/>
      <c r="D338" s="15" t="n"/>
      <c r="E338" s="15" t="n"/>
      <c r="F338" s="15" t="n"/>
      <c r="G338" s="15" t="n"/>
      <c r="H338" s="16" t="n"/>
      <c r="I338" s="14" t="n"/>
      <c r="J338" s="17" t="n"/>
      <c r="K338" s="17">
        <f>IF(OR(H338="",J338=""),"",H338*J338)</f>
        <v/>
      </c>
      <c r="L338" s="12" t="n"/>
      <c r="M338" s="15" t="n"/>
      <c r="N338" s="15" t="n"/>
      <c r="O338" s="14" t="n"/>
      <c r="P338" s="14">
        <f>IF(OR(L338="",D338="",O338="납품완료",O338="취소"),"",IF(L338&lt;TODAY(),"지연",IF(L338-TODAY()&lt;=$L$1,"임박","")))</f>
        <v/>
      </c>
      <c r="Q338" s="14" t="n"/>
      <c r="R338" s="15" t="n"/>
      <c r="S338" s="18">
        <f>IF(F338="","",IF(COUNTIF(F$4:F338,F338)=1,MAX(S$3:S337)+1,""))</f>
        <v/>
      </c>
    </row>
    <row r="339">
      <c r="A339" s="12" t="n"/>
      <c r="B339" s="13" t="n"/>
      <c r="C339" s="14" t="n"/>
      <c r="D339" s="15" t="n"/>
      <c r="E339" s="15" t="n"/>
      <c r="F339" s="15" t="n"/>
      <c r="G339" s="15" t="n"/>
      <c r="H339" s="16" t="n"/>
      <c r="I339" s="14" t="n"/>
      <c r="J339" s="17" t="n"/>
      <c r="K339" s="17">
        <f>IF(OR(H339="",J339=""),"",H339*J339)</f>
        <v/>
      </c>
      <c r="L339" s="12" t="n"/>
      <c r="M339" s="15" t="n"/>
      <c r="N339" s="15" t="n"/>
      <c r="O339" s="14" t="n"/>
      <c r="P339" s="14">
        <f>IF(OR(L339="",D339="",O339="납품완료",O339="취소"),"",IF(L339&lt;TODAY(),"지연",IF(L339-TODAY()&lt;=$L$1,"임박","")))</f>
        <v/>
      </c>
      <c r="Q339" s="14" t="n"/>
      <c r="R339" s="15" t="n"/>
      <c r="S339" s="18">
        <f>IF(F339="","",IF(COUNTIF(F$4:F339,F339)=1,MAX(S$3:S338)+1,""))</f>
        <v/>
      </c>
    </row>
    <row r="340">
      <c r="A340" s="12" t="n"/>
      <c r="B340" s="13" t="n"/>
      <c r="C340" s="14" t="n"/>
      <c r="D340" s="15" t="n"/>
      <c r="E340" s="15" t="n"/>
      <c r="F340" s="15" t="n"/>
      <c r="G340" s="15" t="n"/>
      <c r="H340" s="16" t="n"/>
      <c r="I340" s="14" t="n"/>
      <c r="J340" s="17" t="n"/>
      <c r="K340" s="17">
        <f>IF(OR(H340="",J340=""),"",H340*J340)</f>
        <v/>
      </c>
      <c r="L340" s="12" t="n"/>
      <c r="M340" s="15" t="n"/>
      <c r="N340" s="15" t="n"/>
      <c r="O340" s="14" t="n"/>
      <c r="P340" s="14">
        <f>IF(OR(L340="",D340="",O340="납품완료",O340="취소"),"",IF(L340&lt;TODAY(),"지연",IF(L340-TODAY()&lt;=$L$1,"임박","")))</f>
        <v/>
      </c>
      <c r="Q340" s="14" t="n"/>
      <c r="R340" s="15" t="n"/>
      <c r="S340" s="18">
        <f>IF(F340="","",IF(COUNTIF(F$4:F340,F340)=1,MAX(S$3:S339)+1,""))</f>
        <v/>
      </c>
    </row>
    <row r="341">
      <c r="A341" s="12" t="n"/>
      <c r="B341" s="13" t="n"/>
      <c r="C341" s="14" t="n"/>
      <c r="D341" s="15" t="n"/>
      <c r="E341" s="15" t="n"/>
      <c r="F341" s="15" t="n"/>
      <c r="G341" s="15" t="n"/>
      <c r="H341" s="16" t="n"/>
      <c r="I341" s="14" t="n"/>
      <c r="J341" s="17" t="n"/>
      <c r="K341" s="17">
        <f>IF(OR(H341="",J341=""),"",H341*J341)</f>
        <v/>
      </c>
      <c r="L341" s="12" t="n"/>
      <c r="M341" s="15" t="n"/>
      <c r="N341" s="15" t="n"/>
      <c r="O341" s="14" t="n"/>
      <c r="P341" s="14">
        <f>IF(OR(L341="",D341="",O341="납품완료",O341="취소"),"",IF(L341&lt;TODAY(),"지연",IF(L341-TODAY()&lt;=$L$1,"임박","")))</f>
        <v/>
      </c>
      <c r="Q341" s="14" t="n"/>
      <c r="R341" s="15" t="n"/>
      <c r="S341" s="18">
        <f>IF(F341="","",IF(COUNTIF(F$4:F341,F341)=1,MAX(S$3:S340)+1,""))</f>
        <v/>
      </c>
    </row>
    <row r="342">
      <c r="A342" s="12" t="n"/>
      <c r="B342" s="13" t="n"/>
      <c r="C342" s="14" t="n"/>
      <c r="D342" s="15" t="n"/>
      <c r="E342" s="15" t="n"/>
      <c r="F342" s="15" t="n"/>
      <c r="G342" s="15" t="n"/>
      <c r="H342" s="16" t="n"/>
      <c r="I342" s="14" t="n"/>
      <c r="J342" s="17" t="n"/>
      <c r="K342" s="17">
        <f>IF(OR(H342="",J342=""),"",H342*J342)</f>
        <v/>
      </c>
      <c r="L342" s="12" t="n"/>
      <c r="M342" s="15" t="n"/>
      <c r="N342" s="15" t="n"/>
      <c r="O342" s="14" t="n"/>
      <c r="P342" s="14">
        <f>IF(OR(L342="",D342="",O342="납품완료",O342="취소"),"",IF(L342&lt;TODAY(),"지연",IF(L342-TODAY()&lt;=$L$1,"임박","")))</f>
        <v/>
      </c>
      <c r="Q342" s="14" t="n"/>
      <c r="R342" s="15" t="n"/>
      <c r="S342" s="18">
        <f>IF(F342="","",IF(COUNTIF(F$4:F342,F342)=1,MAX(S$3:S341)+1,""))</f>
        <v/>
      </c>
    </row>
    <row r="343">
      <c r="A343" s="12" t="n"/>
      <c r="B343" s="13" t="n"/>
      <c r="C343" s="14" t="n"/>
      <c r="D343" s="15" t="n"/>
      <c r="E343" s="15" t="n"/>
      <c r="F343" s="15" t="n"/>
      <c r="G343" s="15" t="n"/>
      <c r="H343" s="16" t="n"/>
      <c r="I343" s="14" t="n"/>
      <c r="J343" s="17" t="n"/>
      <c r="K343" s="17">
        <f>IF(OR(H343="",J343=""),"",H343*J343)</f>
        <v/>
      </c>
      <c r="L343" s="12" t="n"/>
      <c r="M343" s="15" t="n"/>
      <c r="N343" s="15" t="n"/>
      <c r="O343" s="14" t="n"/>
      <c r="P343" s="14">
        <f>IF(OR(L343="",D343="",O343="납품완료",O343="취소"),"",IF(L343&lt;TODAY(),"지연",IF(L343-TODAY()&lt;=$L$1,"임박","")))</f>
        <v/>
      </c>
      <c r="Q343" s="14" t="n"/>
      <c r="R343" s="15" t="n"/>
      <c r="S343" s="18">
        <f>IF(F343="","",IF(COUNTIF(F$4:F343,F343)=1,MAX(S$3:S342)+1,""))</f>
        <v/>
      </c>
    </row>
    <row r="344">
      <c r="A344" s="12" t="n"/>
      <c r="B344" s="13" t="n"/>
      <c r="C344" s="14" t="n"/>
      <c r="D344" s="15" t="n"/>
      <c r="E344" s="15" t="n"/>
      <c r="F344" s="15" t="n"/>
      <c r="G344" s="15" t="n"/>
      <c r="H344" s="16" t="n"/>
      <c r="I344" s="14" t="n"/>
      <c r="J344" s="17" t="n"/>
      <c r="K344" s="17">
        <f>IF(OR(H344="",J344=""),"",H344*J344)</f>
        <v/>
      </c>
      <c r="L344" s="12" t="n"/>
      <c r="M344" s="15" t="n"/>
      <c r="N344" s="15" t="n"/>
      <c r="O344" s="14" t="n"/>
      <c r="P344" s="14">
        <f>IF(OR(L344="",D344="",O344="납품완료",O344="취소"),"",IF(L344&lt;TODAY(),"지연",IF(L344-TODAY()&lt;=$L$1,"임박","")))</f>
        <v/>
      </c>
      <c r="Q344" s="14" t="n"/>
      <c r="R344" s="15" t="n"/>
      <c r="S344" s="18">
        <f>IF(F344="","",IF(COUNTIF(F$4:F344,F344)=1,MAX(S$3:S343)+1,""))</f>
        <v/>
      </c>
    </row>
    <row r="345">
      <c r="A345" s="12" t="n"/>
      <c r="B345" s="13" t="n"/>
      <c r="C345" s="14" t="n"/>
      <c r="D345" s="15" t="n"/>
      <c r="E345" s="15" t="n"/>
      <c r="F345" s="15" t="n"/>
      <c r="G345" s="15" t="n"/>
      <c r="H345" s="16" t="n"/>
      <c r="I345" s="14" t="n"/>
      <c r="J345" s="17" t="n"/>
      <c r="K345" s="17">
        <f>IF(OR(H345="",J345=""),"",H345*J345)</f>
        <v/>
      </c>
      <c r="L345" s="12" t="n"/>
      <c r="M345" s="15" t="n"/>
      <c r="N345" s="15" t="n"/>
      <c r="O345" s="14" t="n"/>
      <c r="P345" s="14">
        <f>IF(OR(L345="",D345="",O345="납품완료",O345="취소"),"",IF(L345&lt;TODAY(),"지연",IF(L345-TODAY()&lt;=$L$1,"임박","")))</f>
        <v/>
      </c>
      <c r="Q345" s="14" t="n"/>
      <c r="R345" s="15" t="n"/>
      <c r="S345" s="18">
        <f>IF(F345="","",IF(COUNTIF(F$4:F345,F345)=1,MAX(S$3:S344)+1,""))</f>
        <v/>
      </c>
    </row>
    <row r="346">
      <c r="A346" s="12" t="n"/>
      <c r="B346" s="13" t="n"/>
      <c r="C346" s="14" t="n"/>
      <c r="D346" s="15" t="n"/>
      <c r="E346" s="15" t="n"/>
      <c r="F346" s="15" t="n"/>
      <c r="G346" s="15" t="n"/>
      <c r="H346" s="16" t="n"/>
      <c r="I346" s="14" t="n"/>
      <c r="J346" s="17" t="n"/>
      <c r="K346" s="17">
        <f>IF(OR(H346="",J346=""),"",H346*J346)</f>
        <v/>
      </c>
      <c r="L346" s="12" t="n"/>
      <c r="M346" s="15" t="n"/>
      <c r="N346" s="15" t="n"/>
      <c r="O346" s="14" t="n"/>
      <c r="P346" s="14">
        <f>IF(OR(L346="",D346="",O346="납품완료",O346="취소"),"",IF(L346&lt;TODAY(),"지연",IF(L346-TODAY()&lt;=$L$1,"임박","")))</f>
        <v/>
      </c>
      <c r="Q346" s="14" t="n"/>
      <c r="R346" s="15" t="n"/>
      <c r="S346" s="18">
        <f>IF(F346="","",IF(COUNTIF(F$4:F346,F346)=1,MAX(S$3:S345)+1,""))</f>
        <v/>
      </c>
    </row>
    <row r="347">
      <c r="A347" s="12" t="n"/>
      <c r="B347" s="13" t="n"/>
      <c r="C347" s="14" t="n"/>
      <c r="D347" s="15" t="n"/>
      <c r="E347" s="15" t="n"/>
      <c r="F347" s="15" t="n"/>
      <c r="G347" s="15" t="n"/>
      <c r="H347" s="16" t="n"/>
      <c r="I347" s="14" t="n"/>
      <c r="J347" s="17" t="n"/>
      <c r="K347" s="17">
        <f>IF(OR(H347="",J347=""),"",H347*J347)</f>
        <v/>
      </c>
      <c r="L347" s="12" t="n"/>
      <c r="M347" s="15" t="n"/>
      <c r="N347" s="15" t="n"/>
      <c r="O347" s="14" t="n"/>
      <c r="P347" s="14">
        <f>IF(OR(L347="",D347="",O347="납품완료",O347="취소"),"",IF(L347&lt;TODAY(),"지연",IF(L347-TODAY()&lt;=$L$1,"임박","")))</f>
        <v/>
      </c>
      <c r="Q347" s="14" t="n"/>
      <c r="R347" s="15" t="n"/>
      <c r="S347" s="18">
        <f>IF(F347="","",IF(COUNTIF(F$4:F347,F347)=1,MAX(S$3:S346)+1,""))</f>
        <v/>
      </c>
    </row>
    <row r="348">
      <c r="A348" s="12" t="n"/>
      <c r="B348" s="13" t="n"/>
      <c r="C348" s="14" t="n"/>
      <c r="D348" s="15" t="n"/>
      <c r="E348" s="15" t="n"/>
      <c r="F348" s="15" t="n"/>
      <c r="G348" s="15" t="n"/>
      <c r="H348" s="16" t="n"/>
      <c r="I348" s="14" t="n"/>
      <c r="J348" s="17" t="n"/>
      <c r="K348" s="17">
        <f>IF(OR(H348="",J348=""),"",H348*J348)</f>
        <v/>
      </c>
      <c r="L348" s="12" t="n"/>
      <c r="M348" s="15" t="n"/>
      <c r="N348" s="15" t="n"/>
      <c r="O348" s="14" t="n"/>
      <c r="P348" s="14">
        <f>IF(OR(L348="",D348="",O348="납품완료",O348="취소"),"",IF(L348&lt;TODAY(),"지연",IF(L348-TODAY()&lt;=$L$1,"임박","")))</f>
        <v/>
      </c>
      <c r="Q348" s="14" t="n"/>
      <c r="R348" s="15" t="n"/>
      <c r="S348" s="18">
        <f>IF(F348="","",IF(COUNTIF(F$4:F348,F348)=1,MAX(S$3:S347)+1,""))</f>
        <v/>
      </c>
    </row>
    <row r="349">
      <c r="A349" s="12" t="n"/>
      <c r="B349" s="13" t="n"/>
      <c r="C349" s="14" t="n"/>
      <c r="D349" s="15" t="n"/>
      <c r="E349" s="15" t="n"/>
      <c r="F349" s="15" t="n"/>
      <c r="G349" s="15" t="n"/>
      <c r="H349" s="16" t="n"/>
      <c r="I349" s="14" t="n"/>
      <c r="J349" s="17" t="n"/>
      <c r="K349" s="17">
        <f>IF(OR(H349="",J349=""),"",H349*J349)</f>
        <v/>
      </c>
      <c r="L349" s="12" t="n"/>
      <c r="M349" s="15" t="n"/>
      <c r="N349" s="15" t="n"/>
      <c r="O349" s="14" t="n"/>
      <c r="P349" s="14">
        <f>IF(OR(L349="",D349="",O349="납품완료",O349="취소"),"",IF(L349&lt;TODAY(),"지연",IF(L349-TODAY()&lt;=$L$1,"임박","")))</f>
        <v/>
      </c>
      <c r="Q349" s="14" t="n"/>
      <c r="R349" s="15" t="n"/>
      <c r="S349" s="18">
        <f>IF(F349="","",IF(COUNTIF(F$4:F349,F349)=1,MAX(S$3:S348)+1,""))</f>
        <v/>
      </c>
    </row>
    <row r="350">
      <c r="A350" s="12" t="n"/>
      <c r="B350" s="13" t="n"/>
      <c r="C350" s="14" t="n"/>
      <c r="D350" s="15" t="n"/>
      <c r="E350" s="15" t="n"/>
      <c r="F350" s="15" t="n"/>
      <c r="G350" s="15" t="n"/>
      <c r="H350" s="16" t="n"/>
      <c r="I350" s="14" t="n"/>
      <c r="J350" s="17" t="n"/>
      <c r="K350" s="17">
        <f>IF(OR(H350="",J350=""),"",H350*J350)</f>
        <v/>
      </c>
      <c r="L350" s="12" t="n"/>
      <c r="M350" s="15" t="n"/>
      <c r="N350" s="15" t="n"/>
      <c r="O350" s="14" t="n"/>
      <c r="P350" s="14">
        <f>IF(OR(L350="",D350="",O350="납품완료",O350="취소"),"",IF(L350&lt;TODAY(),"지연",IF(L350-TODAY()&lt;=$L$1,"임박","")))</f>
        <v/>
      </c>
      <c r="Q350" s="14" t="n"/>
      <c r="R350" s="15" t="n"/>
      <c r="S350" s="18">
        <f>IF(F350="","",IF(COUNTIF(F$4:F350,F350)=1,MAX(S$3:S349)+1,""))</f>
        <v/>
      </c>
    </row>
    <row r="351">
      <c r="A351" s="12" t="n"/>
      <c r="B351" s="13" t="n"/>
      <c r="C351" s="14" t="n"/>
      <c r="D351" s="15" t="n"/>
      <c r="E351" s="15" t="n"/>
      <c r="F351" s="15" t="n"/>
      <c r="G351" s="15" t="n"/>
      <c r="H351" s="16" t="n"/>
      <c r="I351" s="14" t="n"/>
      <c r="J351" s="17" t="n"/>
      <c r="K351" s="17">
        <f>IF(OR(H351="",J351=""),"",H351*J351)</f>
        <v/>
      </c>
      <c r="L351" s="12" t="n"/>
      <c r="M351" s="15" t="n"/>
      <c r="N351" s="15" t="n"/>
      <c r="O351" s="14" t="n"/>
      <c r="P351" s="14">
        <f>IF(OR(L351="",D351="",O351="납품완료",O351="취소"),"",IF(L351&lt;TODAY(),"지연",IF(L351-TODAY()&lt;=$L$1,"임박","")))</f>
        <v/>
      </c>
      <c r="Q351" s="14" t="n"/>
      <c r="R351" s="15" t="n"/>
      <c r="S351" s="18">
        <f>IF(F351="","",IF(COUNTIF(F$4:F351,F351)=1,MAX(S$3:S350)+1,""))</f>
        <v/>
      </c>
    </row>
    <row r="352">
      <c r="A352" s="12" t="n"/>
      <c r="B352" s="13" t="n"/>
      <c r="C352" s="14" t="n"/>
      <c r="D352" s="15" t="n"/>
      <c r="E352" s="15" t="n"/>
      <c r="F352" s="15" t="n"/>
      <c r="G352" s="15" t="n"/>
      <c r="H352" s="16" t="n"/>
      <c r="I352" s="14" t="n"/>
      <c r="J352" s="17" t="n"/>
      <c r="K352" s="17">
        <f>IF(OR(H352="",J352=""),"",H352*J352)</f>
        <v/>
      </c>
      <c r="L352" s="12" t="n"/>
      <c r="M352" s="15" t="n"/>
      <c r="N352" s="15" t="n"/>
      <c r="O352" s="14" t="n"/>
      <c r="P352" s="14">
        <f>IF(OR(L352="",D352="",O352="납품완료",O352="취소"),"",IF(L352&lt;TODAY(),"지연",IF(L352-TODAY()&lt;=$L$1,"임박","")))</f>
        <v/>
      </c>
      <c r="Q352" s="14" t="n"/>
      <c r="R352" s="15" t="n"/>
      <c r="S352" s="18">
        <f>IF(F352="","",IF(COUNTIF(F$4:F352,F352)=1,MAX(S$3:S351)+1,""))</f>
        <v/>
      </c>
    </row>
    <row r="353">
      <c r="A353" s="12" t="n"/>
      <c r="B353" s="13" t="n"/>
      <c r="C353" s="14" t="n"/>
      <c r="D353" s="15" t="n"/>
      <c r="E353" s="15" t="n"/>
      <c r="F353" s="15" t="n"/>
      <c r="G353" s="15" t="n"/>
      <c r="H353" s="16" t="n"/>
      <c r="I353" s="14" t="n"/>
      <c r="J353" s="17" t="n"/>
      <c r="K353" s="17">
        <f>IF(OR(H353="",J353=""),"",H353*J353)</f>
        <v/>
      </c>
      <c r="L353" s="12" t="n"/>
      <c r="M353" s="15" t="n"/>
      <c r="N353" s="15" t="n"/>
      <c r="O353" s="14" t="n"/>
      <c r="P353" s="14">
        <f>IF(OR(L353="",D353="",O353="납품완료",O353="취소"),"",IF(L353&lt;TODAY(),"지연",IF(L353-TODAY()&lt;=$L$1,"임박","")))</f>
        <v/>
      </c>
      <c r="Q353" s="14" t="n"/>
      <c r="R353" s="15" t="n"/>
      <c r="S353" s="18">
        <f>IF(F353="","",IF(COUNTIF(F$4:F353,F353)=1,MAX(S$3:S352)+1,""))</f>
        <v/>
      </c>
    </row>
    <row r="354">
      <c r="A354" s="12" t="n"/>
      <c r="B354" s="13" t="n"/>
      <c r="C354" s="14" t="n"/>
      <c r="D354" s="15" t="n"/>
      <c r="E354" s="15" t="n"/>
      <c r="F354" s="15" t="n"/>
      <c r="G354" s="15" t="n"/>
      <c r="H354" s="16" t="n"/>
      <c r="I354" s="14" t="n"/>
      <c r="J354" s="17" t="n"/>
      <c r="K354" s="17">
        <f>IF(OR(H354="",J354=""),"",H354*J354)</f>
        <v/>
      </c>
      <c r="L354" s="12" t="n"/>
      <c r="M354" s="15" t="n"/>
      <c r="N354" s="15" t="n"/>
      <c r="O354" s="14" t="n"/>
      <c r="P354" s="14">
        <f>IF(OR(L354="",D354="",O354="납품완료",O354="취소"),"",IF(L354&lt;TODAY(),"지연",IF(L354-TODAY()&lt;=$L$1,"임박","")))</f>
        <v/>
      </c>
      <c r="Q354" s="14" t="n"/>
      <c r="R354" s="15" t="n"/>
      <c r="S354" s="18">
        <f>IF(F354="","",IF(COUNTIF(F$4:F354,F354)=1,MAX(S$3:S353)+1,""))</f>
        <v/>
      </c>
    </row>
    <row r="355">
      <c r="A355" s="12" t="n"/>
      <c r="B355" s="13" t="n"/>
      <c r="C355" s="14" t="n"/>
      <c r="D355" s="15" t="n"/>
      <c r="E355" s="15" t="n"/>
      <c r="F355" s="15" t="n"/>
      <c r="G355" s="15" t="n"/>
      <c r="H355" s="16" t="n"/>
      <c r="I355" s="14" t="n"/>
      <c r="J355" s="17" t="n"/>
      <c r="K355" s="17">
        <f>IF(OR(H355="",J355=""),"",H355*J355)</f>
        <v/>
      </c>
      <c r="L355" s="12" t="n"/>
      <c r="M355" s="15" t="n"/>
      <c r="N355" s="15" t="n"/>
      <c r="O355" s="14" t="n"/>
      <c r="P355" s="14">
        <f>IF(OR(L355="",D355="",O355="납품완료",O355="취소"),"",IF(L355&lt;TODAY(),"지연",IF(L355-TODAY()&lt;=$L$1,"임박","")))</f>
        <v/>
      </c>
      <c r="Q355" s="14" t="n"/>
      <c r="R355" s="15" t="n"/>
      <c r="S355" s="18">
        <f>IF(F355="","",IF(COUNTIF(F$4:F355,F355)=1,MAX(S$3:S354)+1,""))</f>
        <v/>
      </c>
    </row>
    <row r="356">
      <c r="A356" s="12" t="n"/>
      <c r="B356" s="13" t="n"/>
      <c r="C356" s="14" t="n"/>
      <c r="D356" s="15" t="n"/>
      <c r="E356" s="15" t="n"/>
      <c r="F356" s="15" t="n"/>
      <c r="G356" s="15" t="n"/>
      <c r="H356" s="16" t="n"/>
      <c r="I356" s="14" t="n"/>
      <c r="J356" s="17" t="n"/>
      <c r="K356" s="17">
        <f>IF(OR(H356="",J356=""),"",H356*J356)</f>
        <v/>
      </c>
      <c r="L356" s="12" t="n"/>
      <c r="M356" s="15" t="n"/>
      <c r="N356" s="15" t="n"/>
      <c r="O356" s="14" t="n"/>
      <c r="P356" s="14">
        <f>IF(OR(L356="",D356="",O356="납품완료",O356="취소"),"",IF(L356&lt;TODAY(),"지연",IF(L356-TODAY()&lt;=$L$1,"임박","")))</f>
        <v/>
      </c>
      <c r="Q356" s="14" t="n"/>
      <c r="R356" s="15" t="n"/>
      <c r="S356" s="18">
        <f>IF(F356="","",IF(COUNTIF(F$4:F356,F356)=1,MAX(S$3:S355)+1,""))</f>
        <v/>
      </c>
    </row>
    <row r="357">
      <c r="A357" s="12" t="n"/>
      <c r="B357" s="13" t="n"/>
      <c r="C357" s="14" t="n"/>
      <c r="D357" s="15" t="n"/>
      <c r="E357" s="15" t="n"/>
      <c r="F357" s="15" t="n"/>
      <c r="G357" s="15" t="n"/>
      <c r="H357" s="16" t="n"/>
      <c r="I357" s="14" t="n"/>
      <c r="J357" s="17" t="n"/>
      <c r="K357" s="17">
        <f>IF(OR(H357="",J357=""),"",H357*J357)</f>
        <v/>
      </c>
      <c r="L357" s="12" t="n"/>
      <c r="M357" s="15" t="n"/>
      <c r="N357" s="15" t="n"/>
      <c r="O357" s="14" t="n"/>
      <c r="P357" s="14">
        <f>IF(OR(L357="",D357="",O357="납품완료",O357="취소"),"",IF(L357&lt;TODAY(),"지연",IF(L357-TODAY()&lt;=$L$1,"임박","")))</f>
        <v/>
      </c>
      <c r="Q357" s="14" t="n"/>
      <c r="R357" s="15" t="n"/>
      <c r="S357" s="18">
        <f>IF(F357="","",IF(COUNTIF(F$4:F357,F357)=1,MAX(S$3:S356)+1,""))</f>
        <v/>
      </c>
    </row>
    <row r="358">
      <c r="A358" s="12" t="n"/>
      <c r="B358" s="13" t="n"/>
      <c r="C358" s="14" t="n"/>
      <c r="D358" s="15" t="n"/>
      <c r="E358" s="15" t="n"/>
      <c r="F358" s="15" t="n"/>
      <c r="G358" s="15" t="n"/>
      <c r="H358" s="16" t="n"/>
      <c r="I358" s="14" t="n"/>
      <c r="J358" s="17" t="n"/>
      <c r="K358" s="17">
        <f>IF(OR(H358="",J358=""),"",H358*J358)</f>
        <v/>
      </c>
      <c r="L358" s="12" t="n"/>
      <c r="M358" s="15" t="n"/>
      <c r="N358" s="15" t="n"/>
      <c r="O358" s="14" t="n"/>
      <c r="P358" s="14">
        <f>IF(OR(L358="",D358="",O358="납품완료",O358="취소"),"",IF(L358&lt;TODAY(),"지연",IF(L358-TODAY()&lt;=$L$1,"임박","")))</f>
        <v/>
      </c>
      <c r="Q358" s="14" t="n"/>
      <c r="R358" s="15" t="n"/>
      <c r="S358" s="18">
        <f>IF(F358="","",IF(COUNTIF(F$4:F358,F358)=1,MAX(S$3:S357)+1,""))</f>
        <v/>
      </c>
    </row>
    <row r="359">
      <c r="A359" s="12" t="n"/>
      <c r="B359" s="13" t="n"/>
      <c r="C359" s="14" t="n"/>
      <c r="D359" s="15" t="n"/>
      <c r="E359" s="15" t="n"/>
      <c r="F359" s="15" t="n"/>
      <c r="G359" s="15" t="n"/>
      <c r="H359" s="16" t="n"/>
      <c r="I359" s="14" t="n"/>
      <c r="J359" s="17" t="n"/>
      <c r="K359" s="17">
        <f>IF(OR(H359="",J359=""),"",H359*J359)</f>
        <v/>
      </c>
      <c r="L359" s="12" t="n"/>
      <c r="M359" s="15" t="n"/>
      <c r="N359" s="15" t="n"/>
      <c r="O359" s="14" t="n"/>
      <c r="P359" s="14">
        <f>IF(OR(L359="",D359="",O359="납품완료",O359="취소"),"",IF(L359&lt;TODAY(),"지연",IF(L359-TODAY()&lt;=$L$1,"임박","")))</f>
        <v/>
      </c>
      <c r="Q359" s="14" t="n"/>
      <c r="R359" s="15" t="n"/>
      <c r="S359" s="18">
        <f>IF(F359="","",IF(COUNTIF(F$4:F359,F359)=1,MAX(S$3:S358)+1,""))</f>
        <v/>
      </c>
    </row>
    <row r="360">
      <c r="A360" s="12" t="n"/>
      <c r="B360" s="13" t="n"/>
      <c r="C360" s="14" t="n"/>
      <c r="D360" s="15" t="n"/>
      <c r="E360" s="15" t="n"/>
      <c r="F360" s="15" t="n"/>
      <c r="G360" s="15" t="n"/>
      <c r="H360" s="16" t="n"/>
      <c r="I360" s="14" t="n"/>
      <c r="J360" s="17" t="n"/>
      <c r="K360" s="17">
        <f>IF(OR(H360="",J360=""),"",H360*J360)</f>
        <v/>
      </c>
      <c r="L360" s="12" t="n"/>
      <c r="M360" s="15" t="n"/>
      <c r="N360" s="15" t="n"/>
      <c r="O360" s="14" t="n"/>
      <c r="P360" s="14">
        <f>IF(OR(L360="",D360="",O360="납품완료",O360="취소"),"",IF(L360&lt;TODAY(),"지연",IF(L360-TODAY()&lt;=$L$1,"임박","")))</f>
        <v/>
      </c>
      <c r="Q360" s="14" t="n"/>
      <c r="R360" s="15" t="n"/>
      <c r="S360" s="18">
        <f>IF(F360="","",IF(COUNTIF(F$4:F360,F360)=1,MAX(S$3:S359)+1,""))</f>
        <v/>
      </c>
    </row>
    <row r="361">
      <c r="A361" s="12" t="n"/>
      <c r="B361" s="13" t="n"/>
      <c r="C361" s="14" t="n"/>
      <c r="D361" s="15" t="n"/>
      <c r="E361" s="15" t="n"/>
      <c r="F361" s="15" t="n"/>
      <c r="G361" s="15" t="n"/>
      <c r="H361" s="16" t="n"/>
      <c r="I361" s="14" t="n"/>
      <c r="J361" s="17" t="n"/>
      <c r="K361" s="17">
        <f>IF(OR(H361="",J361=""),"",H361*J361)</f>
        <v/>
      </c>
      <c r="L361" s="12" t="n"/>
      <c r="M361" s="15" t="n"/>
      <c r="N361" s="15" t="n"/>
      <c r="O361" s="14" t="n"/>
      <c r="P361" s="14">
        <f>IF(OR(L361="",D361="",O361="납품완료",O361="취소"),"",IF(L361&lt;TODAY(),"지연",IF(L361-TODAY()&lt;=$L$1,"임박","")))</f>
        <v/>
      </c>
      <c r="Q361" s="14" t="n"/>
      <c r="R361" s="15" t="n"/>
      <c r="S361" s="18">
        <f>IF(F361="","",IF(COUNTIF(F$4:F361,F361)=1,MAX(S$3:S360)+1,""))</f>
        <v/>
      </c>
    </row>
    <row r="362">
      <c r="A362" s="12" t="n"/>
      <c r="B362" s="13" t="n"/>
      <c r="C362" s="14" t="n"/>
      <c r="D362" s="15" t="n"/>
      <c r="E362" s="15" t="n"/>
      <c r="F362" s="15" t="n"/>
      <c r="G362" s="15" t="n"/>
      <c r="H362" s="16" t="n"/>
      <c r="I362" s="14" t="n"/>
      <c r="J362" s="17" t="n"/>
      <c r="K362" s="17">
        <f>IF(OR(H362="",J362=""),"",H362*J362)</f>
        <v/>
      </c>
      <c r="L362" s="12" t="n"/>
      <c r="M362" s="15" t="n"/>
      <c r="N362" s="15" t="n"/>
      <c r="O362" s="14" t="n"/>
      <c r="P362" s="14">
        <f>IF(OR(L362="",D362="",O362="납품완료",O362="취소"),"",IF(L362&lt;TODAY(),"지연",IF(L362-TODAY()&lt;=$L$1,"임박","")))</f>
        <v/>
      </c>
      <c r="Q362" s="14" t="n"/>
      <c r="R362" s="15" t="n"/>
      <c r="S362" s="18">
        <f>IF(F362="","",IF(COUNTIF(F$4:F362,F362)=1,MAX(S$3:S361)+1,""))</f>
        <v/>
      </c>
    </row>
    <row r="363">
      <c r="A363" s="12" t="n"/>
      <c r="B363" s="13" t="n"/>
      <c r="C363" s="14" t="n"/>
      <c r="D363" s="15" t="n"/>
      <c r="E363" s="15" t="n"/>
      <c r="F363" s="15" t="n"/>
      <c r="G363" s="15" t="n"/>
      <c r="H363" s="16" t="n"/>
      <c r="I363" s="14" t="n"/>
      <c r="J363" s="17" t="n"/>
      <c r="K363" s="17">
        <f>IF(OR(H363="",J363=""),"",H363*J363)</f>
        <v/>
      </c>
      <c r="L363" s="12" t="n"/>
      <c r="M363" s="15" t="n"/>
      <c r="N363" s="15" t="n"/>
      <c r="O363" s="14" t="n"/>
      <c r="P363" s="14">
        <f>IF(OR(L363="",D363="",O363="납품완료",O363="취소"),"",IF(L363&lt;TODAY(),"지연",IF(L363-TODAY()&lt;=$L$1,"임박","")))</f>
        <v/>
      </c>
      <c r="Q363" s="14" t="n"/>
      <c r="R363" s="15" t="n"/>
      <c r="S363" s="18">
        <f>IF(F363="","",IF(COUNTIF(F$4:F363,F363)=1,MAX(S$3:S362)+1,""))</f>
        <v/>
      </c>
    </row>
    <row r="364">
      <c r="A364" s="12" t="n"/>
      <c r="B364" s="13" t="n"/>
      <c r="C364" s="14" t="n"/>
      <c r="D364" s="15" t="n"/>
      <c r="E364" s="15" t="n"/>
      <c r="F364" s="15" t="n"/>
      <c r="G364" s="15" t="n"/>
      <c r="H364" s="16" t="n"/>
      <c r="I364" s="14" t="n"/>
      <c r="J364" s="17" t="n"/>
      <c r="K364" s="17">
        <f>IF(OR(H364="",J364=""),"",H364*J364)</f>
        <v/>
      </c>
      <c r="L364" s="12" t="n"/>
      <c r="M364" s="15" t="n"/>
      <c r="N364" s="15" t="n"/>
      <c r="O364" s="14" t="n"/>
      <c r="P364" s="14">
        <f>IF(OR(L364="",D364="",O364="납품완료",O364="취소"),"",IF(L364&lt;TODAY(),"지연",IF(L364-TODAY()&lt;=$L$1,"임박","")))</f>
        <v/>
      </c>
      <c r="Q364" s="14" t="n"/>
      <c r="R364" s="15" t="n"/>
      <c r="S364" s="18">
        <f>IF(F364="","",IF(COUNTIF(F$4:F364,F364)=1,MAX(S$3:S363)+1,""))</f>
        <v/>
      </c>
    </row>
    <row r="365">
      <c r="A365" s="12" t="n"/>
      <c r="B365" s="13" t="n"/>
      <c r="C365" s="14" t="n"/>
      <c r="D365" s="15" t="n"/>
      <c r="E365" s="15" t="n"/>
      <c r="F365" s="15" t="n"/>
      <c r="G365" s="15" t="n"/>
      <c r="H365" s="16" t="n"/>
      <c r="I365" s="14" t="n"/>
      <c r="J365" s="17" t="n"/>
      <c r="K365" s="17">
        <f>IF(OR(H365="",J365=""),"",H365*J365)</f>
        <v/>
      </c>
      <c r="L365" s="12" t="n"/>
      <c r="M365" s="15" t="n"/>
      <c r="N365" s="15" t="n"/>
      <c r="O365" s="14" t="n"/>
      <c r="P365" s="14">
        <f>IF(OR(L365="",D365="",O365="납품완료",O365="취소"),"",IF(L365&lt;TODAY(),"지연",IF(L365-TODAY()&lt;=$L$1,"임박","")))</f>
        <v/>
      </c>
      <c r="Q365" s="14" t="n"/>
      <c r="R365" s="15" t="n"/>
      <c r="S365" s="18">
        <f>IF(F365="","",IF(COUNTIF(F$4:F365,F365)=1,MAX(S$3:S364)+1,""))</f>
        <v/>
      </c>
    </row>
    <row r="366">
      <c r="A366" s="12" t="n"/>
      <c r="B366" s="13" t="n"/>
      <c r="C366" s="14" t="n"/>
      <c r="D366" s="15" t="n"/>
      <c r="E366" s="15" t="n"/>
      <c r="F366" s="15" t="n"/>
      <c r="G366" s="15" t="n"/>
      <c r="H366" s="16" t="n"/>
      <c r="I366" s="14" t="n"/>
      <c r="J366" s="17" t="n"/>
      <c r="K366" s="17">
        <f>IF(OR(H366="",J366=""),"",H366*J366)</f>
        <v/>
      </c>
      <c r="L366" s="12" t="n"/>
      <c r="M366" s="15" t="n"/>
      <c r="N366" s="15" t="n"/>
      <c r="O366" s="14" t="n"/>
      <c r="P366" s="14">
        <f>IF(OR(L366="",D366="",O366="납품완료",O366="취소"),"",IF(L366&lt;TODAY(),"지연",IF(L366-TODAY()&lt;=$L$1,"임박","")))</f>
        <v/>
      </c>
      <c r="Q366" s="14" t="n"/>
      <c r="R366" s="15" t="n"/>
      <c r="S366" s="18">
        <f>IF(F366="","",IF(COUNTIF(F$4:F366,F366)=1,MAX(S$3:S365)+1,""))</f>
        <v/>
      </c>
    </row>
    <row r="367">
      <c r="A367" s="12" t="n"/>
      <c r="B367" s="13" t="n"/>
      <c r="C367" s="14" t="n"/>
      <c r="D367" s="15" t="n"/>
      <c r="E367" s="15" t="n"/>
      <c r="F367" s="15" t="n"/>
      <c r="G367" s="15" t="n"/>
      <c r="H367" s="16" t="n"/>
      <c r="I367" s="14" t="n"/>
      <c r="J367" s="17" t="n"/>
      <c r="K367" s="17">
        <f>IF(OR(H367="",J367=""),"",H367*J367)</f>
        <v/>
      </c>
      <c r="L367" s="12" t="n"/>
      <c r="M367" s="15" t="n"/>
      <c r="N367" s="15" t="n"/>
      <c r="O367" s="14" t="n"/>
      <c r="P367" s="14">
        <f>IF(OR(L367="",D367="",O367="납품완료",O367="취소"),"",IF(L367&lt;TODAY(),"지연",IF(L367-TODAY()&lt;=$L$1,"임박","")))</f>
        <v/>
      </c>
      <c r="Q367" s="14" t="n"/>
      <c r="R367" s="15" t="n"/>
      <c r="S367" s="18">
        <f>IF(F367="","",IF(COUNTIF(F$4:F367,F367)=1,MAX(S$3:S366)+1,""))</f>
        <v/>
      </c>
    </row>
    <row r="368">
      <c r="A368" s="12" t="n"/>
      <c r="B368" s="13" t="n"/>
      <c r="C368" s="14" t="n"/>
      <c r="D368" s="15" t="n"/>
      <c r="E368" s="15" t="n"/>
      <c r="F368" s="15" t="n"/>
      <c r="G368" s="15" t="n"/>
      <c r="H368" s="16" t="n"/>
      <c r="I368" s="14" t="n"/>
      <c r="J368" s="17" t="n"/>
      <c r="K368" s="17">
        <f>IF(OR(H368="",J368=""),"",H368*J368)</f>
        <v/>
      </c>
      <c r="L368" s="12" t="n"/>
      <c r="M368" s="15" t="n"/>
      <c r="N368" s="15" t="n"/>
      <c r="O368" s="14" t="n"/>
      <c r="P368" s="14">
        <f>IF(OR(L368="",D368="",O368="납품완료",O368="취소"),"",IF(L368&lt;TODAY(),"지연",IF(L368-TODAY()&lt;=$L$1,"임박","")))</f>
        <v/>
      </c>
      <c r="Q368" s="14" t="n"/>
      <c r="R368" s="15" t="n"/>
      <c r="S368" s="18">
        <f>IF(F368="","",IF(COUNTIF(F$4:F368,F368)=1,MAX(S$3:S367)+1,""))</f>
        <v/>
      </c>
    </row>
    <row r="369">
      <c r="A369" s="12" t="n"/>
      <c r="B369" s="13" t="n"/>
      <c r="C369" s="14" t="n"/>
      <c r="D369" s="15" t="n"/>
      <c r="E369" s="15" t="n"/>
      <c r="F369" s="15" t="n"/>
      <c r="G369" s="15" t="n"/>
      <c r="H369" s="16" t="n"/>
      <c r="I369" s="14" t="n"/>
      <c r="J369" s="17" t="n"/>
      <c r="K369" s="17">
        <f>IF(OR(H369="",J369=""),"",H369*J369)</f>
        <v/>
      </c>
      <c r="L369" s="12" t="n"/>
      <c r="M369" s="15" t="n"/>
      <c r="N369" s="15" t="n"/>
      <c r="O369" s="14" t="n"/>
      <c r="P369" s="14">
        <f>IF(OR(L369="",D369="",O369="납품완료",O369="취소"),"",IF(L369&lt;TODAY(),"지연",IF(L369-TODAY()&lt;=$L$1,"임박","")))</f>
        <v/>
      </c>
      <c r="Q369" s="14" t="n"/>
      <c r="R369" s="15" t="n"/>
      <c r="S369" s="18">
        <f>IF(F369="","",IF(COUNTIF(F$4:F369,F369)=1,MAX(S$3:S368)+1,""))</f>
        <v/>
      </c>
    </row>
    <row r="370">
      <c r="A370" s="12" t="n"/>
      <c r="B370" s="13" t="n"/>
      <c r="C370" s="14" t="n"/>
      <c r="D370" s="15" t="n"/>
      <c r="E370" s="15" t="n"/>
      <c r="F370" s="15" t="n"/>
      <c r="G370" s="15" t="n"/>
      <c r="H370" s="16" t="n"/>
      <c r="I370" s="14" t="n"/>
      <c r="J370" s="17" t="n"/>
      <c r="K370" s="17">
        <f>IF(OR(H370="",J370=""),"",H370*J370)</f>
        <v/>
      </c>
      <c r="L370" s="12" t="n"/>
      <c r="M370" s="15" t="n"/>
      <c r="N370" s="15" t="n"/>
      <c r="O370" s="14" t="n"/>
      <c r="P370" s="14">
        <f>IF(OR(L370="",D370="",O370="납품완료",O370="취소"),"",IF(L370&lt;TODAY(),"지연",IF(L370-TODAY()&lt;=$L$1,"임박","")))</f>
        <v/>
      </c>
      <c r="Q370" s="14" t="n"/>
      <c r="R370" s="15" t="n"/>
      <c r="S370" s="18">
        <f>IF(F370="","",IF(COUNTIF(F$4:F370,F370)=1,MAX(S$3:S369)+1,""))</f>
        <v/>
      </c>
    </row>
    <row r="371">
      <c r="A371" s="12" t="n"/>
      <c r="B371" s="13" t="n"/>
      <c r="C371" s="14" t="n"/>
      <c r="D371" s="15" t="n"/>
      <c r="E371" s="15" t="n"/>
      <c r="F371" s="15" t="n"/>
      <c r="G371" s="15" t="n"/>
      <c r="H371" s="16" t="n"/>
      <c r="I371" s="14" t="n"/>
      <c r="J371" s="17" t="n"/>
      <c r="K371" s="17">
        <f>IF(OR(H371="",J371=""),"",H371*J371)</f>
        <v/>
      </c>
      <c r="L371" s="12" t="n"/>
      <c r="M371" s="15" t="n"/>
      <c r="N371" s="15" t="n"/>
      <c r="O371" s="14" t="n"/>
      <c r="P371" s="14">
        <f>IF(OR(L371="",D371="",O371="납품완료",O371="취소"),"",IF(L371&lt;TODAY(),"지연",IF(L371-TODAY()&lt;=$L$1,"임박","")))</f>
        <v/>
      </c>
      <c r="Q371" s="14" t="n"/>
      <c r="R371" s="15" t="n"/>
      <c r="S371" s="18">
        <f>IF(F371="","",IF(COUNTIF(F$4:F371,F371)=1,MAX(S$3:S370)+1,""))</f>
        <v/>
      </c>
    </row>
    <row r="372">
      <c r="A372" s="12" t="n"/>
      <c r="B372" s="13" t="n"/>
      <c r="C372" s="14" t="n"/>
      <c r="D372" s="15" t="n"/>
      <c r="E372" s="15" t="n"/>
      <c r="F372" s="15" t="n"/>
      <c r="G372" s="15" t="n"/>
      <c r="H372" s="16" t="n"/>
      <c r="I372" s="14" t="n"/>
      <c r="J372" s="17" t="n"/>
      <c r="K372" s="17">
        <f>IF(OR(H372="",J372=""),"",H372*J372)</f>
        <v/>
      </c>
      <c r="L372" s="12" t="n"/>
      <c r="M372" s="15" t="n"/>
      <c r="N372" s="15" t="n"/>
      <c r="O372" s="14" t="n"/>
      <c r="P372" s="14">
        <f>IF(OR(L372="",D372="",O372="납품완료",O372="취소"),"",IF(L372&lt;TODAY(),"지연",IF(L372-TODAY()&lt;=$L$1,"임박","")))</f>
        <v/>
      </c>
      <c r="Q372" s="14" t="n"/>
      <c r="R372" s="15" t="n"/>
      <c r="S372" s="18">
        <f>IF(F372="","",IF(COUNTIF(F$4:F372,F372)=1,MAX(S$3:S371)+1,""))</f>
        <v/>
      </c>
    </row>
    <row r="373">
      <c r="A373" s="12" t="n"/>
      <c r="B373" s="13" t="n"/>
      <c r="C373" s="14" t="n"/>
      <c r="D373" s="15" t="n"/>
      <c r="E373" s="15" t="n"/>
      <c r="F373" s="15" t="n"/>
      <c r="G373" s="15" t="n"/>
      <c r="H373" s="16" t="n"/>
      <c r="I373" s="14" t="n"/>
      <c r="J373" s="17" t="n"/>
      <c r="K373" s="17">
        <f>IF(OR(H373="",J373=""),"",H373*J373)</f>
        <v/>
      </c>
      <c r="L373" s="12" t="n"/>
      <c r="M373" s="15" t="n"/>
      <c r="N373" s="15" t="n"/>
      <c r="O373" s="14" t="n"/>
      <c r="P373" s="14">
        <f>IF(OR(L373="",D373="",O373="납품완료",O373="취소"),"",IF(L373&lt;TODAY(),"지연",IF(L373-TODAY()&lt;=$L$1,"임박","")))</f>
        <v/>
      </c>
      <c r="Q373" s="14" t="n"/>
      <c r="R373" s="15" t="n"/>
      <c r="S373" s="18">
        <f>IF(F373="","",IF(COUNTIF(F$4:F373,F373)=1,MAX(S$3:S372)+1,""))</f>
        <v/>
      </c>
    </row>
    <row r="374">
      <c r="A374" s="12" t="n"/>
      <c r="B374" s="13" t="n"/>
      <c r="C374" s="14" t="n"/>
      <c r="D374" s="15" t="n"/>
      <c r="E374" s="15" t="n"/>
      <c r="F374" s="15" t="n"/>
      <c r="G374" s="15" t="n"/>
      <c r="H374" s="16" t="n"/>
      <c r="I374" s="14" t="n"/>
      <c r="J374" s="17" t="n"/>
      <c r="K374" s="17">
        <f>IF(OR(H374="",J374=""),"",H374*J374)</f>
        <v/>
      </c>
      <c r="L374" s="12" t="n"/>
      <c r="M374" s="15" t="n"/>
      <c r="N374" s="15" t="n"/>
      <c r="O374" s="14" t="n"/>
      <c r="P374" s="14">
        <f>IF(OR(L374="",D374="",O374="납품완료",O374="취소"),"",IF(L374&lt;TODAY(),"지연",IF(L374-TODAY()&lt;=$L$1,"임박","")))</f>
        <v/>
      </c>
      <c r="Q374" s="14" t="n"/>
      <c r="R374" s="15" t="n"/>
      <c r="S374" s="18">
        <f>IF(F374="","",IF(COUNTIF(F$4:F374,F374)=1,MAX(S$3:S373)+1,""))</f>
        <v/>
      </c>
    </row>
    <row r="375">
      <c r="A375" s="12" t="n"/>
      <c r="B375" s="13" t="n"/>
      <c r="C375" s="14" t="n"/>
      <c r="D375" s="15" t="n"/>
      <c r="E375" s="15" t="n"/>
      <c r="F375" s="15" t="n"/>
      <c r="G375" s="15" t="n"/>
      <c r="H375" s="16" t="n"/>
      <c r="I375" s="14" t="n"/>
      <c r="J375" s="17" t="n"/>
      <c r="K375" s="17">
        <f>IF(OR(H375="",J375=""),"",H375*J375)</f>
        <v/>
      </c>
      <c r="L375" s="12" t="n"/>
      <c r="M375" s="15" t="n"/>
      <c r="N375" s="15" t="n"/>
      <c r="O375" s="14" t="n"/>
      <c r="P375" s="14">
        <f>IF(OR(L375="",D375="",O375="납품완료",O375="취소"),"",IF(L375&lt;TODAY(),"지연",IF(L375-TODAY()&lt;=$L$1,"임박","")))</f>
        <v/>
      </c>
      <c r="Q375" s="14" t="n"/>
      <c r="R375" s="15" t="n"/>
      <c r="S375" s="18">
        <f>IF(F375="","",IF(COUNTIF(F$4:F375,F375)=1,MAX(S$3:S374)+1,""))</f>
        <v/>
      </c>
    </row>
    <row r="376">
      <c r="A376" s="12" t="n"/>
      <c r="B376" s="13" t="n"/>
      <c r="C376" s="14" t="n"/>
      <c r="D376" s="15" t="n"/>
      <c r="E376" s="15" t="n"/>
      <c r="F376" s="15" t="n"/>
      <c r="G376" s="15" t="n"/>
      <c r="H376" s="16" t="n"/>
      <c r="I376" s="14" t="n"/>
      <c r="J376" s="17" t="n"/>
      <c r="K376" s="17">
        <f>IF(OR(H376="",J376=""),"",H376*J376)</f>
        <v/>
      </c>
      <c r="L376" s="12" t="n"/>
      <c r="M376" s="15" t="n"/>
      <c r="N376" s="15" t="n"/>
      <c r="O376" s="14" t="n"/>
      <c r="P376" s="14">
        <f>IF(OR(L376="",D376="",O376="납품완료",O376="취소"),"",IF(L376&lt;TODAY(),"지연",IF(L376-TODAY()&lt;=$L$1,"임박","")))</f>
        <v/>
      </c>
      <c r="Q376" s="14" t="n"/>
      <c r="R376" s="15" t="n"/>
      <c r="S376" s="18">
        <f>IF(F376="","",IF(COUNTIF(F$4:F376,F376)=1,MAX(S$3:S375)+1,""))</f>
        <v/>
      </c>
    </row>
    <row r="377">
      <c r="A377" s="12" t="n"/>
      <c r="B377" s="13" t="n"/>
      <c r="C377" s="14" t="n"/>
      <c r="D377" s="15" t="n"/>
      <c r="E377" s="15" t="n"/>
      <c r="F377" s="15" t="n"/>
      <c r="G377" s="15" t="n"/>
      <c r="H377" s="16" t="n"/>
      <c r="I377" s="14" t="n"/>
      <c r="J377" s="17" t="n"/>
      <c r="K377" s="17">
        <f>IF(OR(H377="",J377=""),"",H377*J377)</f>
        <v/>
      </c>
      <c r="L377" s="12" t="n"/>
      <c r="M377" s="15" t="n"/>
      <c r="N377" s="15" t="n"/>
      <c r="O377" s="14" t="n"/>
      <c r="P377" s="14">
        <f>IF(OR(L377="",D377="",O377="납품완료",O377="취소"),"",IF(L377&lt;TODAY(),"지연",IF(L377-TODAY()&lt;=$L$1,"임박","")))</f>
        <v/>
      </c>
      <c r="Q377" s="14" t="n"/>
      <c r="R377" s="15" t="n"/>
      <c r="S377" s="18">
        <f>IF(F377="","",IF(COUNTIF(F$4:F377,F377)=1,MAX(S$3:S376)+1,""))</f>
        <v/>
      </c>
    </row>
    <row r="378">
      <c r="A378" s="12" t="n"/>
      <c r="B378" s="13" t="n"/>
      <c r="C378" s="14" t="n"/>
      <c r="D378" s="15" t="n"/>
      <c r="E378" s="15" t="n"/>
      <c r="F378" s="15" t="n"/>
      <c r="G378" s="15" t="n"/>
      <c r="H378" s="16" t="n"/>
      <c r="I378" s="14" t="n"/>
      <c r="J378" s="17" t="n"/>
      <c r="K378" s="17">
        <f>IF(OR(H378="",J378=""),"",H378*J378)</f>
        <v/>
      </c>
      <c r="L378" s="12" t="n"/>
      <c r="M378" s="15" t="n"/>
      <c r="N378" s="15" t="n"/>
      <c r="O378" s="14" t="n"/>
      <c r="P378" s="14">
        <f>IF(OR(L378="",D378="",O378="납품완료",O378="취소"),"",IF(L378&lt;TODAY(),"지연",IF(L378-TODAY()&lt;=$L$1,"임박","")))</f>
        <v/>
      </c>
      <c r="Q378" s="14" t="n"/>
      <c r="R378" s="15" t="n"/>
      <c r="S378" s="18">
        <f>IF(F378="","",IF(COUNTIF(F$4:F378,F378)=1,MAX(S$3:S377)+1,""))</f>
        <v/>
      </c>
    </row>
    <row r="379">
      <c r="A379" s="12" t="n"/>
      <c r="B379" s="13" t="n"/>
      <c r="C379" s="14" t="n"/>
      <c r="D379" s="15" t="n"/>
      <c r="E379" s="15" t="n"/>
      <c r="F379" s="15" t="n"/>
      <c r="G379" s="15" t="n"/>
      <c r="H379" s="16" t="n"/>
      <c r="I379" s="14" t="n"/>
      <c r="J379" s="17" t="n"/>
      <c r="K379" s="17">
        <f>IF(OR(H379="",J379=""),"",H379*J379)</f>
        <v/>
      </c>
      <c r="L379" s="12" t="n"/>
      <c r="M379" s="15" t="n"/>
      <c r="N379" s="15" t="n"/>
      <c r="O379" s="14" t="n"/>
      <c r="P379" s="14">
        <f>IF(OR(L379="",D379="",O379="납품완료",O379="취소"),"",IF(L379&lt;TODAY(),"지연",IF(L379-TODAY()&lt;=$L$1,"임박","")))</f>
        <v/>
      </c>
      <c r="Q379" s="14" t="n"/>
      <c r="R379" s="15" t="n"/>
      <c r="S379" s="18">
        <f>IF(F379="","",IF(COUNTIF(F$4:F379,F379)=1,MAX(S$3:S378)+1,""))</f>
        <v/>
      </c>
    </row>
    <row r="380">
      <c r="A380" s="12" t="n"/>
      <c r="B380" s="13" t="n"/>
      <c r="C380" s="14" t="n"/>
      <c r="D380" s="15" t="n"/>
      <c r="E380" s="15" t="n"/>
      <c r="F380" s="15" t="n"/>
      <c r="G380" s="15" t="n"/>
      <c r="H380" s="16" t="n"/>
      <c r="I380" s="14" t="n"/>
      <c r="J380" s="17" t="n"/>
      <c r="K380" s="17">
        <f>IF(OR(H380="",J380=""),"",H380*J380)</f>
        <v/>
      </c>
      <c r="L380" s="12" t="n"/>
      <c r="M380" s="15" t="n"/>
      <c r="N380" s="15" t="n"/>
      <c r="O380" s="14" t="n"/>
      <c r="P380" s="14">
        <f>IF(OR(L380="",D380="",O380="납품완료",O380="취소"),"",IF(L380&lt;TODAY(),"지연",IF(L380-TODAY()&lt;=$L$1,"임박","")))</f>
        <v/>
      </c>
      <c r="Q380" s="14" t="n"/>
      <c r="R380" s="15" t="n"/>
      <c r="S380" s="18">
        <f>IF(F380="","",IF(COUNTIF(F$4:F380,F380)=1,MAX(S$3:S379)+1,""))</f>
        <v/>
      </c>
    </row>
    <row r="381">
      <c r="A381" s="12" t="n"/>
      <c r="B381" s="13" t="n"/>
      <c r="C381" s="14" t="n"/>
      <c r="D381" s="15" t="n"/>
      <c r="E381" s="15" t="n"/>
      <c r="F381" s="15" t="n"/>
      <c r="G381" s="15" t="n"/>
      <c r="H381" s="16" t="n"/>
      <c r="I381" s="14" t="n"/>
      <c r="J381" s="17" t="n"/>
      <c r="K381" s="17">
        <f>IF(OR(H381="",J381=""),"",H381*J381)</f>
        <v/>
      </c>
      <c r="L381" s="12" t="n"/>
      <c r="M381" s="15" t="n"/>
      <c r="N381" s="15" t="n"/>
      <c r="O381" s="14" t="n"/>
      <c r="P381" s="14">
        <f>IF(OR(L381="",D381="",O381="납품완료",O381="취소"),"",IF(L381&lt;TODAY(),"지연",IF(L381-TODAY()&lt;=$L$1,"임박","")))</f>
        <v/>
      </c>
      <c r="Q381" s="14" t="n"/>
      <c r="R381" s="15" t="n"/>
      <c r="S381" s="18">
        <f>IF(F381="","",IF(COUNTIF(F$4:F381,F381)=1,MAX(S$3:S380)+1,""))</f>
        <v/>
      </c>
    </row>
    <row r="382">
      <c r="A382" s="12" t="n"/>
      <c r="B382" s="13" t="n"/>
      <c r="C382" s="14" t="n"/>
      <c r="D382" s="15" t="n"/>
      <c r="E382" s="15" t="n"/>
      <c r="F382" s="15" t="n"/>
      <c r="G382" s="15" t="n"/>
      <c r="H382" s="16" t="n"/>
      <c r="I382" s="14" t="n"/>
      <c r="J382" s="17" t="n"/>
      <c r="K382" s="17">
        <f>IF(OR(H382="",J382=""),"",H382*J382)</f>
        <v/>
      </c>
      <c r="L382" s="12" t="n"/>
      <c r="M382" s="15" t="n"/>
      <c r="N382" s="15" t="n"/>
      <c r="O382" s="14" t="n"/>
      <c r="P382" s="14">
        <f>IF(OR(L382="",D382="",O382="납품완료",O382="취소"),"",IF(L382&lt;TODAY(),"지연",IF(L382-TODAY()&lt;=$L$1,"임박","")))</f>
        <v/>
      </c>
      <c r="Q382" s="14" t="n"/>
      <c r="R382" s="15" t="n"/>
      <c r="S382" s="18">
        <f>IF(F382="","",IF(COUNTIF(F$4:F382,F382)=1,MAX(S$3:S381)+1,""))</f>
        <v/>
      </c>
    </row>
    <row r="383">
      <c r="A383" s="12" t="n"/>
      <c r="B383" s="13" t="n"/>
      <c r="C383" s="14" t="n"/>
      <c r="D383" s="15" t="n"/>
      <c r="E383" s="15" t="n"/>
      <c r="F383" s="15" t="n"/>
      <c r="G383" s="15" t="n"/>
      <c r="H383" s="16" t="n"/>
      <c r="I383" s="14" t="n"/>
      <c r="J383" s="17" t="n"/>
      <c r="K383" s="17">
        <f>IF(OR(H383="",J383=""),"",H383*J383)</f>
        <v/>
      </c>
      <c r="L383" s="12" t="n"/>
      <c r="M383" s="15" t="n"/>
      <c r="N383" s="15" t="n"/>
      <c r="O383" s="14" t="n"/>
      <c r="P383" s="14">
        <f>IF(OR(L383="",D383="",O383="납품완료",O383="취소"),"",IF(L383&lt;TODAY(),"지연",IF(L383-TODAY()&lt;=$L$1,"임박","")))</f>
        <v/>
      </c>
      <c r="Q383" s="14" t="n"/>
      <c r="R383" s="15" t="n"/>
      <c r="S383" s="18">
        <f>IF(F383="","",IF(COUNTIF(F$4:F383,F383)=1,MAX(S$3:S382)+1,""))</f>
        <v/>
      </c>
    </row>
    <row r="384">
      <c r="A384" s="12" t="n"/>
      <c r="B384" s="13" t="n"/>
      <c r="C384" s="14" t="n"/>
      <c r="D384" s="15" t="n"/>
      <c r="E384" s="15" t="n"/>
      <c r="F384" s="15" t="n"/>
      <c r="G384" s="15" t="n"/>
      <c r="H384" s="16" t="n"/>
      <c r="I384" s="14" t="n"/>
      <c r="J384" s="17" t="n"/>
      <c r="K384" s="17">
        <f>IF(OR(H384="",J384=""),"",H384*J384)</f>
        <v/>
      </c>
      <c r="L384" s="12" t="n"/>
      <c r="M384" s="15" t="n"/>
      <c r="N384" s="15" t="n"/>
      <c r="O384" s="14" t="n"/>
      <c r="P384" s="14">
        <f>IF(OR(L384="",D384="",O384="납품완료",O384="취소"),"",IF(L384&lt;TODAY(),"지연",IF(L384-TODAY()&lt;=$L$1,"임박","")))</f>
        <v/>
      </c>
      <c r="Q384" s="14" t="n"/>
      <c r="R384" s="15" t="n"/>
      <c r="S384" s="18">
        <f>IF(F384="","",IF(COUNTIF(F$4:F384,F384)=1,MAX(S$3:S383)+1,""))</f>
        <v/>
      </c>
    </row>
    <row r="385">
      <c r="A385" s="12" t="n"/>
      <c r="B385" s="13" t="n"/>
      <c r="C385" s="14" t="n"/>
      <c r="D385" s="15" t="n"/>
      <c r="E385" s="15" t="n"/>
      <c r="F385" s="15" t="n"/>
      <c r="G385" s="15" t="n"/>
      <c r="H385" s="16" t="n"/>
      <c r="I385" s="14" t="n"/>
      <c r="J385" s="17" t="n"/>
      <c r="K385" s="17">
        <f>IF(OR(H385="",J385=""),"",H385*J385)</f>
        <v/>
      </c>
      <c r="L385" s="12" t="n"/>
      <c r="M385" s="15" t="n"/>
      <c r="N385" s="15" t="n"/>
      <c r="O385" s="14" t="n"/>
      <c r="P385" s="14">
        <f>IF(OR(L385="",D385="",O385="납품완료",O385="취소"),"",IF(L385&lt;TODAY(),"지연",IF(L385-TODAY()&lt;=$L$1,"임박","")))</f>
        <v/>
      </c>
      <c r="Q385" s="14" t="n"/>
      <c r="R385" s="15" t="n"/>
      <c r="S385" s="18">
        <f>IF(F385="","",IF(COUNTIF(F$4:F385,F385)=1,MAX(S$3:S384)+1,""))</f>
        <v/>
      </c>
    </row>
    <row r="386">
      <c r="A386" s="12" t="n"/>
      <c r="B386" s="13" t="n"/>
      <c r="C386" s="14" t="n"/>
      <c r="D386" s="15" t="n"/>
      <c r="E386" s="15" t="n"/>
      <c r="F386" s="15" t="n"/>
      <c r="G386" s="15" t="n"/>
      <c r="H386" s="16" t="n"/>
      <c r="I386" s="14" t="n"/>
      <c r="J386" s="17" t="n"/>
      <c r="K386" s="17">
        <f>IF(OR(H386="",J386=""),"",H386*J386)</f>
        <v/>
      </c>
      <c r="L386" s="12" t="n"/>
      <c r="M386" s="15" t="n"/>
      <c r="N386" s="15" t="n"/>
      <c r="O386" s="14" t="n"/>
      <c r="P386" s="14">
        <f>IF(OR(L386="",D386="",O386="납품완료",O386="취소"),"",IF(L386&lt;TODAY(),"지연",IF(L386-TODAY()&lt;=$L$1,"임박","")))</f>
        <v/>
      </c>
      <c r="Q386" s="14" t="n"/>
      <c r="R386" s="15" t="n"/>
      <c r="S386" s="18">
        <f>IF(F386="","",IF(COUNTIF(F$4:F386,F386)=1,MAX(S$3:S385)+1,""))</f>
        <v/>
      </c>
    </row>
    <row r="387">
      <c r="A387" s="12" t="n"/>
      <c r="B387" s="13" t="n"/>
      <c r="C387" s="14" t="n"/>
      <c r="D387" s="15" t="n"/>
      <c r="E387" s="15" t="n"/>
      <c r="F387" s="15" t="n"/>
      <c r="G387" s="15" t="n"/>
      <c r="H387" s="16" t="n"/>
      <c r="I387" s="14" t="n"/>
      <c r="J387" s="17" t="n"/>
      <c r="K387" s="17">
        <f>IF(OR(H387="",J387=""),"",H387*J387)</f>
        <v/>
      </c>
      <c r="L387" s="12" t="n"/>
      <c r="M387" s="15" t="n"/>
      <c r="N387" s="15" t="n"/>
      <c r="O387" s="14" t="n"/>
      <c r="P387" s="14">
        <f>IF(OR(L387="",D387="",O387="납품완료",O387="취소"),"",IF(L387&lt;TODAY(),"지연",IF(L387-TODAY()&lt;=$L$1,"임박","")))</f>
        <v/>
      </c>
      <c r="Q387" s="14" t="n"/>
      <c r="R387" s="15" t="n"/>
      <c r="S387" s="18">
        <f>IF(F387="","",IF(COUNTIF(F$4:F387,F387)=1,MAX(S$3:S386)+1,""))</f>
        <v/>
      </c>
    </row>
    <row r="388">
      <c r="A388" s="12" t="n"/>
      <c r="B388" s="13" t="n"/>
      <c r="C388" s="14" t="n"/>
      <c r="D388" s="15" t="n"/>
      <c r="E388" s="15" t="n"/>
      <c r="F388" s="15" t="n"/>
      <c r="G388" s="15" t="n"/>
      <c r="H388" s="16" t="n"/>
      <c r="I388" s="14" t="n"/>
      <c r="J388" s="17" t="n"/>
      <c r="K388" s="17">
        <f>IF(OR(H388="",J388=""),"",H388*J388)</f>
        <v/>
      </c>
      <c r="L388" s="12" t="n"/>
      <c r="M388" s="15" t="n"/>
      <c r="N388" s="15" t="n"/>
      <c r="O388" s="14" t="n"/>
      <c r="P388" s="14">
        <f>IF(OR(L388="",D388="",O388="납품완료",O388="취소"),"",IF(L388&lt;TODAY(),"지연",IF(L388-TODAY()&lt;=$L$1,"임박","")))</f>
        <v/>
      </c>
      <c r="Q388" s="14" t="n"/>
      <c r="R388" s="15" t="n"/>
      <c r="S388" s="18">
        <f>IF(F388="","",IF(COUNTIF(F$4:F388,F388)=1,MAX(S$3:S387)+1,""))</f>
        <v/>
      </c>
    </row>
    <row r="389">
      <c r="A389" s="12" t="n"/>
      <c r="B389" s="13" t="n"/>
      <c r="C389" s="14" t="n"/>
      <c r="D389" s="15" t="n"/>
      <c r="E389" s="15" t="n"/>
      <c r="F389" s="15" t="n"/>
      <c r="G389" s="15" t="n"/>
      <c r="H389" s="16" t="n"/>
      <c r="I389" s="14" t="n"/>
      <c r="J389" s="17" t="n"/>
      <c r="K389" s="17">
        <f>IF(OR(H389="",J389=""),"",H389*J389)</f>
        <v/>
      </c>
      <c r="L389" s="12" t="n"/>
      <c r="M389" s="15" t="n"/>
      <c r="N389" s="15" t="n"/>
      <c r="O389" s="14" t="n"/>
      <c r="P389" s="14">
        <f>IF(OR(L389="",D389="",O389="납품완료",O389="취소"),"",IF(L389&lt;TODAY(),"지연",IF(L389-TODAY()&lt;=$L$1,"임박","")))</f>
        <v/>
      </c>
      <c r="Q389" s="14" t="n"/>
      <c r="R389" s="15" t="n"/>
      <c r="S389" s="18">
        <f>IF(F389="","",IF(COUNTIF(F$4:F389,F389)=1,MAX(S$3:S388)+1,""))</f>
        <v/>
      </c>
    </row>
    <row r="390">
      <c r="A390" s="12" t="n"/>
      <c r="B390" s="13" t="n"/>
      <c r="C390" s="14" t="n"/>
      <c r="D390" s="15" t="n"/>
      <c r="E390" s="15" t="n"/>
      <c r="F390" s="15" t="n"/>
      <c r="G390" s="15" t="n"/>
      <c r="H390" s="16" t="n"/>
      <c r="I390" s="14" t="n"/>
      <c r="J390" s="17" t="n"/>
      <c r="K390" s="17">
        <f>IF(OR(H390="",J390=""),"",H390*J390)</f>
        <v/>
      </c>
      <c r="L390" s="12" t="n"/>
      <c r="M390" s="15" t="n"/>
      <c r="N390" s="15" t="n"/>
      <c r="O390" s="14" t="n"/>
      <c r="P390" s="14">
        <f>IF(OR(L390="",D390="",O390="납품완료",O390="취소"),"",IF(L390&lt;TODAY(),"지연",IF(L390-TODAY()&lt;=$L$1,"임박","")))</f>
        <v/>
      </c>
      <c r="Q390" s="14" t="n"/>
      <c r="R390" s="15" t="n"/>
      <c r="S390" s="18">
        <f>IF(F390="","",IF(COUNTIF(F$4:F390,F390)=1,MAX(S$3:S389)+1,""))</f>
        <v/>
      </c>
    </row>
    <row r="391">
      <c r="A391" s="12" t="n"/>
      <c r="B391" s="13" t="n"/>
      <c r="C391" s="14" t="n"/>
      <c r="D391" s="15" t="n"/>
      <c r="E391" s="15" t="n"/>
      <c r="F391" s="15" t="n"/>
      <c r="G391" s="15" t="n"/>
      <c r="H391" s="16" t="n"/>
      <c r="I391" s="14" t="n"/>
      <c r="J391" s="17" t="n"/>
      <c r="K391" s="17">
        <f>IF(OR(H391="",J391=""),"",H391*J391)</f>
        <v/>
      </c>
      <c r="L391" s="12" t="n"/>
      <c r="M391" s="15" t="n"/>
      <c r="N391" s="15" t="n"/>
      <c r="O391" s="14" t="n"/>
      <c r="P391" s="14">
        <f>IF(OR(L391="",D391="",O391="납품완료",O391="취소"),"",IF(L391&lt;TODAY(),"지연",IF(L391-TODAY()&lt;=$L$1,"임박","")))</f>
        <v/>
      </c>
      <c r="Q391" s="14" t="n"/>
      <c r="R391" s="15" t="n"/>
      <c r="S391" s="18">
        <f>IF(F391="","",IF(COUNTIF(F$4:F391,F391)=1,MAX(S$3:S390)+1,""))</f>
        <v/>
      </c>
    </row>
    <row r="392">
      <c r="A392" s="12" t="n"/>
      <c r="B392" s="13" t="n"/>
      <c r="C392" s="14" t="n"/>
      <c r="D392" s="15" t="n"/>
      <c r="E392" s="15" t="n"/>
      <c r="F392" s="15" t="n"/>
      <c r="G392" s="15" t="n"/>
      <c r="H392" s="16" t="n"/>
      <c r="I392" s="14" t="n"/>
      <c r="J392" s="17" t="n"/>
      <c r="K392" s="17">
        <f>IF(OR(H392="",J392=""),"",H392*J392)</f>
        <v/>
      </c>
      <c r="L392" s="12" t="n"/>
      <c r="M392" s="15" t="n"/>
      <c r="N392" s="15" t="n"/>
      <c r="O392" s="14" t="n"/>
      <c r="P392" s="14">
        <f>IF(OR(L392="",D392="",O392="납품완료",O392="취소"),"",IF(L392&lt;TODAY(),"지연",IF(L392-TODAY()&lt;=$L$1,"임박","")))</f>
        <v/>
      </c>
      <c r="Q392" s="14" t="n"/>
      <c r="R392" s="15" t="n"/>
      <c r="S392" s="18">
        <f>IF(F392="","",IF(COUNTIF(F$4:F392,F392)=1,MAX(S$3:S391)+1,""))</f>
        <v/>
      </c>
    </row>
    <row r="393">
      <c r="A393" s="12" t="n"/>
      <c r="B393" s="13" t="n"/>
      <c r="C393" s="14" t="n"/>
      <c r="D393" s="15" t="n"/>
      <c r="E393" s="15" t="n"/>
      <c r="F393" s="15" t="n"/>
      <c r="G393" s="15" t="n"/>
      <c r="H393" s="16" t="n"/>
      <c r="I393" s="14" t="n"/>
      <c r="J393" s="17" t="n"/>
      <c r="K393" s="17">
        <f>IF(OR(H393="",J393=""),"",H393*J393)</f>
        <v/>
      </c>
      <c r="L393" s="12" t="n"/>
      <c r="M393" s="15" t="n"/>
      <c r="N393" s="15" t="n"/>
      <c r="O393" s="14" t="n"/>
      <c r="P393" s="14">
        <f>IF(OR(L393="",D393="",O393="납품완료",O393="취소"),"",IF(L393&lt;TODAY(),"지연",IF(L393-TODAY()&lt;=$L$1,"임박","")))</f>
        <v/>
      </c>
      <c r="Q393" s="14" t="n"/>
      <c r="R393" s="15" t="n"/>
      <c r="S393" s="18">
        <f>IF(F393="","",IF(COUNTIF(F$4:F393,F393)=1,MAX(S$3:S392)+1,""))</f>
        <v/>
      </c>
    </row>
    <row r="394">
      <c r="A394" s="12" t="n"/>
      <c r="B394" s="13" t="n"/>
      <c r="C394" s="14" t="n"/>
      <c r="D394" s="15" t="n"/>
      <c r="E394" s="15" t="n"/>
      <c r="F394" s="15" t="n"/>
      <c r="G394" s="15" t="n"/>
      <c r="H394" s="16" t="n"/>
      <c r="I394" s="14" t="n"/>
      <c r="J394" s="17" t="n"/>
      <c r="K394" s="17">
        <f>IF(OR(H394="",J394=""),"",H394*J394)</f>
        <v/>
      </c>
      <c r="L394" s="12" t="n"/>
      <c r="M394" s="15" t="n"/>
      <c r="N394" s="15" t="n"/>
      <c r="O394" s="14" t="n"/>
      <c r="P394" s="14">
        <f>IF(OR(L394="",D394="",O394="납품완료",O394="취소"),"",IF(L394&lt;TODAY(),"지연",IF(L394-TODAY()&lt;=$L$1,"임박","")))</f>
        <v/>
      </c>
      <c r="Q394" s="14" t="n"/>
      <c r="R394" s="15" t="n"/>
      <c r="S394" s="18">
        <f>IF(F394="","",IF(COUNTIF(F$4:F394,F394)=1,MAX(S$3:S393)+1,""))</f>
        <v/>
      </c>
    </row>
    <row r="395">
      <c r="A395" s="12" t="n"/>
      <c r="B395" s="13" t="n"/>
      <c r="C395" s="14" t="n"/>
      <c r="D395" s="15" t="n"/>
      <c r="E395" s="15" t="n"/>
      <c r="F395" s="15" t="n"/>
      <c r="G395" s="15" t="n"/>
      <c r="H395" s="16" t="n"/>
      <c r="I395" s="14" t="n"/>
      <c r="J395" s="17" t="n"/>
      <c r="K395" s="17">
        <f>IF(OR(H395="",J395=""),"",H395*J395)</f>
        <v/>
      </c>
      <c r="L395" s="12" t="n"/>
      <c r="M395" s="15" t="n"/>
      <c r="N395" s="15" t="n"/>
      <c r="O395" s="14" t="n"/>
      <c r="P395" s="14">
        <f>IF(OR(L395="",D395="",O395="납품완료",O395="취소"),"",IF(L395&lt;TODAY(),"지연",IF(L395-TODAY()&lt;=$L$1,"임박","")))</f>
        <v/>
      </c>
      <c r="Q395" s="14" t="n"/>
      <c r="R395" s="15" t="n"/>
      <c r="S395" s="18">
        <f>IF(F395="","",IF(COUNTIF(F$4:F395,F395)=1,MAX(S$3:S394)+1,""))</f>
        <v/>
      </c>
    </row>
    <row r="396">
      <c r="A396" s="12" t="n"/>
      <c r="B396" s="13" t="n"/>
      <c r="C396" s="14" t="n"/>
      <c r="D396" s="15" t="n"/>
      <c r="E396" s="15" t="n"/>
      <c r="F396" s="15" t="n"/>
      <c r="G396" s="15" t="n"/>
      <c r="H396" s="16" t="n"/>
      <c r="I396" s="14" t="n"/>
      <c r="J396" s="17" t="n"/>
      <c r="K396" s="17">
        <f>IF(OR(H396="",J396=""),"",H396*J396)</f>
        <v/>
      </c>
      <c r="L396" s="12" t="n"/>
      <c r="M396" s="15" t="n"/>
      <c r="N396" s="15" t="n"/>
      <c r="O396" s="14" t="n"/>
      <c r="P396" s="14">
        <f>IF(OR(L396="",D396="",O396="납품완료",O396="취소"),"",IF(L396&lt;TODAY(),"지연",IF(L396-TODAY()&lt;=$L$1,"임박","")))</f>
        <v/>
      </c>
      <c r="Q396" s="14" t="n"/>
      <c r="R396" s="15" t="n"/>
      <c r="S396" s="18">
        <f>IF(F396="","",IF(COUNTIF(F$4:F396,F396)=1,MAX(S$3:S395)+1,""))</f>
        <v/>
      </c>
    </row>
    <row r="397">
      <c r="A397" s="12" t="n"/>
      <c r="B397" s="13" t="n"/>
      <c r="C397" s="14" t="n"/>
      <c r="D397" s="15" t="n"/>
      <c r="E397" s="15" t="n"/>
      <c r="F397" s="15" t="n"/>
      <c r="G397" s="15" t="n"/>
      <c r="H397" s="16" t="n"/>
      <c r="I397" s="14" t="n"/>
      <c r="J397" s="17" t="n"/>
      <c r="K397" s="17">
        <f>IF(OR(H397="",J397=""),"",H397*J397)</f>
        <v/>
      </c>
      <c r="L397" s="12" t="n"/>
      <c r="M397" s="15" t="n"/>
      <c r="N397" s="15" t="n"/>
      <c r="O397" s="14" t="n"/>
      <c r="P397" s="14">
        <f>IF(OR(L397="",D397="",O397="납품완료",O397="취소"),"",IF(L397&lt;TODAY(),"지연",IF(L397-TODAY()&lt;=$L$1,"임박","")))</f>
        <v/>
      </c>
      <c r="Q397" s="14" t="n"/>
      <c r="R397" s="15" t="n"/>
      <c r="S397" s="18">
        <f>IF(F397="","",IF(COUNTIF(F$4:F397,F397)=1,MAX(S$3:S396)+1,""))</f>
        <v/>
      </c>
    </row>
    <row r="398">
      <c r="A398" s="12" t="n"/>
      <c r="B398" s="13" t="n"/>
      <c r="C398" s="14" t="n"/>
      <c r="D398" s="15" t="n"/>
      <c r="E398" s="15" t="n"/>
      <c r="F398" s="15" t="n"/>
      <c r="G398" s="15" t="n"/>
      <c r="H398" s="16" t="n"/>
      <c r="I398" s="14" t="n"/>
      <c r="J398" s="17" t="n"/>
      <c r="K398" s="17">
        <f>IF(OR(H398="",J398=""),"",H398*J398)</f>
        <v/>
      </c>
      <c r="L398" s="12" t="n"/>
      <c r="M398" s="15" t="n"/>
      <c r="N398" s="15" t="n"/>
      <c r="O398" s="14" t="n"/>
      <c r="P398" s="14">
        <f>IF(OR(L398="",D398="",O398="납품완료",O398="취소"),"",IF(L398&lt;TODAY(),"지연",IF(L398-TODAY()&lt;=$L$1,"임박","")))</f>
        <v/>
      </c>
      <c r="Q398" s="14" t="n"/>
      <c r="R398" s="15" t="n"/>
      <c r="S398" s="18">
        <f>IF(F398="","",IF(COUNTIF(F$4:F398,F398)=1,MAX(S$3:S397)+1,""))</f>
        <v/>
      </c>
    </row>
    <row r="399">
      <c r="A399" s="12" t="n"/>
      <c r="B399" s="13" t="n"/>
      <c r="C399" s="14" t="n"/>
      <c r="D399" s="15" t="n"/>
      <c r="E399" s="15" t="n"/>
      <c r="F399" s="15" t="n"/>
      <c r="G399" s="15" t="n"/>
      <c r="H399" s="16" t="n"/>
      <c r="I399" s="14" t="n"/>
      <c r="J399" s="17" t="n"/>
      <c r="K399" s="17">
        <f>IF(OR(H399="",J399=""),"",H399*J399)</f>
        <v/>
      </c>
      <c r="L399" s="12" t="n"/>
      <c r="M399" s="15" t="n"/>
      <c r="N399" s="15" t="n"/>
      <c r="O399" s="14" t="n"/>
      <c r="P399" s="14">
        <f>IF(OR(L399="",D399="",O399="납품완료",O399="취소"),"",IF(L399&lt;TODAY(),"지연",IF(L399-TODAY()&lt;=$L$1,"임박","")))</f>
        <v/>
      </c>
      <c r="Q399" s="14" t="n"/>
      <c r="R399" s="15" t="n"/>
      <c r="S399" s="18">
        <f>IF(F399="","",IF(COUNTIF(F$4:F399,F399)=1,MAX(S$3:S398)+1,""))</f>
        <v/>
      </c>
    </row>
    <row r="400">
      <c r="A400" s="12" t="n"/>
      <c r="B400" s="13" t="n"/>
      <c r="C400" s="14" t="n"/>
      <c r="D400" s="15" t="n"/>
      <c r="E400" s="15" t="n"/>
      <c r="F400" s="15" t="n"/>
      <c r="G400" s="15" t="n"/>
      <c r="H400" s="16" t="n"/>
      <c r="I400" s="14" t="n"/>
      <c r="J400" s="17" t="n"/>
      <c r="K400" s="17">
        <f>IF(OR(H400="",J400=""),"",H400*J400)</f>
        <v/>
      </c>
      <c r="L400" s="12" t="n"/>
      <c r="M400" s="15" t="n"/>
      <c r="N400" s="15" t="n"/>
      <c r="O400" s="14" t="n"/>
      <c r="P400" s="14">
        <f>IF(OR(L400="",D400="",O400="납품완료",O400="취소"),"",IF(L400&lt;TODAY(),"지연",IF(L400-TODAY()&lt;=$L$1,"임박","")))</f>
        <v/>
      </c>
      <c r="Q400" s="14" t="n"/>
      <c r="R400" s="15" t="n"/>
      <c r="S400" s="18">
        <f>IF(F400="","",IF(COUNTIF(F$4:F400,F400)=1,MAX(S$3:S399)+1,""))</f>
        <v/>
      </c>
    </row>
    <row r="401">
      <c r="A401" s="12" t="n"/>
      <c r="B401" s="13" t="n"/>
      <c r="C401" s="14" t="n"/>
      <c r="D401" s="15" t="n"/>
      <c r="E401" s="15" t="n"/>
      <c r="F401" s="15" t="n"/>
      <c r="G401" s="15" t="n"/>
      <c r="H401" s="16" t="n"/>
      <c r="I401" s="14" t="n"/>
      <c r="J401" s="17" t="n"/>
      <c r="K401" s="17">
        <f>IF(OR(H401="",J401=""),"",H401*J401)</f>
        <v/>
      </c>
      <c r="L401" s="12" t="n"/>
      <c r="M401" s="15" t="n"/>
      <c r="N401" s="15" t="n"/>
      <c r="O401" s="14" t="n"/>
      <c r="P401" s="14">
        <f>IF(OR(L401="",D401="",O401="납품완료",O401="취소"),"",IF(L401&lt;TODAY(),"지연",IF(L401-TODAY()&lt;=$L$1,"임박","")))</f>
        <v/>
      </c>
      <c r="Q401" s="14" t="n"/>
      <c r="R401" s="15" t="n"/>
      <c r="S401" s="18">
        <f>IF(F401="","",IF(COUNTIF(F$4:F401,F401)=1,MAX(S$3:S400)+1,""))</f>
        <v/>
      </c>
    </row>
    <row r="402">
      <c r="A402" s="12" t="n"/>
      <c r="B402" s="13" t="n"/>
      <c r="C402" s="14" t="n"/>
      <c r="D402" s="15" t="n"/>
      <c r="E402" s="15" t="n"/>
      <c r="F402" s="15" t="n"/>
      <c r="G402" s="15" t="n"/>
      <c r="H402" s="16" t="n"/>
      <c r="I402" s="14" t="n"/>
      <c r="J402" s="17" t="n"/>
      <c r="K402" s="17">
        <f>IF(OR(H402="",J402=""),"",H402*J402)</f>
        <v/>
      </c>
      <c r="L402" s="12" t="n"/>
      <c r="M402" s="15" t="n"/>
      <c r="N402" s="15" t="n"/>
      <c r="O402" s="14" t="n"/>
      <c r="P402" s="14">
        <f>IF(OR(L402="",D402="",O402="납품완료",O402="취소"),"",IF(L402&lt;TODAY(),"지연",IF(L402-TODAY()&lt;=$L$1,"임박","")))</f>
        <v/>
      </c>
      <c r="Q402" s="14" t="n"/>
      <c r="R402" s="15" t="n"/>
      <c r="S402" s="18">
        <f>IF(F402="","",IF(COUNTIF(F$4:F402,F402)=1,MAX(S$3:S401)+1,""))</f>
        <v/>
      </c>
    </row>
    <row r="403">
      <c r="A403" s="12" t="n"/>
      <c r="B403" s="13" t="n"/>
      <c r="C403" s="14" t="n"/>
      <c r="D403" s="15" t="n"/>
      <c r="E403" s="15" t="n"/>
      <c r="F403" s="15" t="n"/>
      <c r="G403" s="15" t="n"/>
      <c r="H403" s="16" t="n"/>
      <c r="I403" s="14" t="n"/>
      <c r="J403" s="17" t="n"/>
      <c r="K403" s="17">
        <f>IF(OR(H403="",J403=""),"",H403*J403)</f>
        <v/>
      </c>
      <c r="L403" s="12" t="n"/>
      <c r="M403" s="15" t="n"/>
      <c r="N403" s="15" t="n"/>
      <c r="O403" s="14" t="n"/>
      <c r="P403" s="14">
        <f>IF(OR(L403="",D403="",O403="납품완료",O403="취소"),"",IF(L403&lt;TODAY(),"지연",IF(L403-TODAY()&lt;=$L$1,"임박","")))</f>
        <v/>
      </c>
      <c r="Q403" s="14" t="n"/>
      <c r="R403" s="15" t="n"/>
      <c r="S403" s="18">
        <f>IF(F403="","",IF(COUNTIF(F$4:F403,F403)=1,MAX(S$3:S402)+1,""))</f>
        <v/>
      </c>
    </row>
    <row r="404">
      <c r="A404" s="12" t="n"/>
      <c r="B404" s="13" t="n"/>
      <c r="C404" s="14" t="n"/>
      <c r="D404" s="15" t="n"/>
      <c r="E404" s="15" t="n"/>
      <c r="F404" s="15" t="n"/>
      <c r="G404" s="15" t="n"/>
      <c r="H404" s="16" t="n"/>
      <c r="I404" s="14" t="n"/>
      <c r="J404" s="17" t="n"/>
      <c r="K404" s="17">
        <f>IF(OR(H404="",J404=""),"",H404*J404)</f>
        <v/>
      </c>
      <c r="L404" s="12" t="n"/>
      <c r="M404" s="15" t="n"/>
      <c r="N404" s="15" t="n"/>
      <c r="O404" s="14" t="n"/>
      <c r="P404" s="14">
        <f>IF(OR(L404="",D404="",O404="납품완료",O404="취소"),"",IF(L404&lt;TODAY(),"지연",IF(L404-TODAY()&lt;=$L$1,"임박","")))</f>
        <v/>
      </c>
      <c r="Q404" s="14" t="n"/>
      <c r="R404" s="15" t="n"/>
      <c r="S404" s="18">
        <f>IF(F404="","",IF(COUNTIF(F$4:F404,F404)=1,MAX(S$3:S403)+1,""))</f>
        <v/>
      </c>
    </row>
    <row r="405">
      <c r="A405" s="12" t="n"/>
      <c r="B405" s="13" t="n"/>
      <c r="C405" s="14" t="n"/>
      <c r="D405" s="15" t="n"/>
      <c r="E405" s="15" t="n"/>
      <c r="F405" s="15" t="n"/>
      <c r="G405" s="15" t="n"/>
      <c r="H405" s="16" t="n"/>
      <c r="I405" s="14" t="n"/>
      <c r="J405" s="17" t="n"/>
      <c r="K405" s="17">
        <f>IF(OR(H405="",J405=""),"",H405*J405)</f>
        <v/>
      </c>
      <c r="L405" s="12" t="n"/>
      <c r="M405" s="15" t="n"/>
      <c r="N405" s="15" t="n"/>
      <c r="O405" s="14" t="n"/>
      <c r="P405" s="14">
        <f>IF(OR(L405="",D405="",O405="납품완료",O405="취소"),"",IF(L405&lt;TODAY(),"지연",IF(L405-TODAY()&lt;=$L$1,"임박","")))</f>
        <v/>
      </c>
      <c r="Q405" s="14" t="n"/>
      <c r="R405" s="15" t="n"/>
      <c r="S405" s="18">
        <f>IF(F405="","",IF(COUNTIF(F$4:F405,F405)=1,MAX(S$3:S404)+1,""))</f>
        <v/>
      </c>
    </row>
    <row r="406">
      <c r="A406" s="12" t="n"/>
      <c r="B406" s="13" t="n"/>
      <c r="C406" s="14" t="n"/>
      <c r="D406" s="15" t="n"/>
      <c r="E406" s="15" t="n"/>
      <c r="F406" s="15" t="n"/>
      <c r="G406" s="15" t="n"/>
      <c r="H406" s="16" t="n"/>
      <c r="I406" s="14" t="n"/>
      <c r="J406" s="17" t="n"/>
      <c r="K406" s="17">
        <f>IF(OR(H406="",J406=""),"",H406*J406)</f>
        <v/>
      </c>
      <c r="L406" s="12" t="n"/>
      <c r="M406" s="15" t="n"/>
      <c r="N406" s="15" t="n"/>
      <c r="O406" s="14" t="n"/>
      <c r="P406" s="14">
        <f>IF(OR(L406="",D406="",O406="납품완료",O406="취소"),"",IF(L406&lt;TODAY(),"지연",IF(L406-TODAY()&lt;=$L$1,"임박","")))</f>
        <v/>
      </c>
      <c r="Q406" s="14" t="n"/>
      <c r="R406" s="15" t="n"/>
      <c r="S406" s="18">
        <f>IF(F406="","",IF(COUNTIF(F$4:F406,F406)=1,MAX(S$3:S405)+1,""))</f>
        <v/>
      </c>
    </row>
    <row r="407">
      <c r="A407" s="12" t="n"/>
      <c r="B407" s="13" t="n"/>
      <c r="C407" s="14" t="n"/>
      <c r="D407" s="15" t="n"/>
      <c r="E407" s="15" t="n"/>
      <c r="F407" s="15" t="n"/>
      <c r="G407" s="15" t="n"/>
      <c r="H407" s="16" t="n"/>
      <c r="I407" s="14" t="n"/>
      <c r="J407" s="17" t="n"/>
      <c r="K407" s="17">
        <f>IF(OR(H407="",J407=""),"",H407*J407)</f>
        <v/>
      </c>
      <c r="L407" s="12" t="n"/>
      <c r="M407" s="15" t="n"/>
      <c r="N407" s="15" t="n"/>
      <c r="O407" s="14" t="n"/>
      <c r="P407" s="14">
        <f>IF(OR(L407="",D407="",O407="납품완료",O407="취소"),"",IF(L407&lt;TODAY(),"지연",IF(L407-TODAY()&lt;=$L$1,"임박","")))</f>
        <v/>
      </c>
      <c r="Q407" s="14" t="n"/>
      <c r="R407" s="15" t="n"/>
      <c r="S407" s="18">
        <f>IF(F407="","",IF(COUNTIF(F$4:F407,F407)=1,MAX(S$3:S406)+1,""))</f>
        <v/>
      </c>
    </row>
    <row r="408">
      <c r="A408" s="12" t="n"/>
      <c r="B408" s="13" t="n"/>
      <c r="C408" s="14" t="n"/>
      <c r="D408" s="15" t="n"/>
      <c r="E408" s="15" t="n"/>
      <c r="F408" s="15" t="n"/>
      <c r="G408" s="15" t="n"/>
      <c r="H408" s="16" t="n"/>
      <c r="I408" s="14" t="n"/>
      <c r="J408" s="17" t="n"/>
      <c r="K408" s="17">
        <f>IF(OR(H408="",J408=""),"",H408*J408)</f>
        <v/>
      </c>
      <c r="L408" s="12" t="n"/>
      <c r="M408" s="15" t="n"/>
      <c r="N408" s="15" t="n"/>
      <c r="O408" s="14" t="n"/>
      <c r="P408" s="14">
        <f>IF(OR(L408="",D408="",O408="납품완료",O408="취소"),"",IF(L408&lt;TODAY(),"지연",IF(L408-TODAY()&lt;=$L$1,"임박","")))</f>
        <v/>
      </c>
      <c r="Q408" s="14" t="n"/>
      <c r="R408" s="15" t="n"/>
      <c r="S408" s="18">
        <f>IF(F408="","",IF(COUNTIF(F$4:F408,F408)=1,MAX(S$3:S407)+1,""))</f>
        <v/>
      </c>
    </row>
    <row r="409">
      <c r="A409" s="12" t="n"/>
      <c r="B409" s="13" t="n"/>
      <c r="C409" s="14" t="n"/>
      <c r="D409" s="15" t="n"/>
      <c r="E409" s="15" t="n"/>
      <c r="F409" s="15" t="n"/>
      <c r="G409" s="15" t="n"/>
      <c r="H409" s="16" t="n"/>
      <c r="I409" s="14" t="n"/>
      <c r="J409" s="17" t="n"/>
      <c r="K409" s="17">
        <f>IF(OR(H409="",J409=""),"",H409*J409)</f>
        <v/>
      </c>
      <c r="L409" s="12" t="n"/>
      <c r="M409" s="15" t="n"/>
      <c r="N409" s="15" t="n"/>
      <c r="O409" s="14" t="n"/>
      <c r="P409" s="14">
        <f>IF(OR(L409="",D409="",O409="납품완료",O409="취소"),"",IF(L409&lt;TODAY(),"지연",IF(L409-TODAY()&lt;=$L$1,"임박","")))</f>
        <v/>
      </c>
      <c r="Q409" s="14" t="n"/>
      <c r="R409" s="15" t="n"/>
      <c r="S409" s="18">
        <f>IF(F409="","",IF(COUNTIF(F$4:F409,F409)=1,MAX(S$3:S408)+1,""))</f>
        <v/>
      </c>
    </row>
    <row r="410">
      <c r="A410" s="12" t="n"/>
      <c r="B410" s="13" t="n"/>
      <c r="C410" s="14" t="n"/>
      <c r="D410" s="15" t="n"/>
      <c r="E410" s="15" t="n"/>
      <c r="F410" s="15" t="n"/>
      <c r="G410" s="15" t="n"/>
      <c r="H410" s="16" t="n"/>
      <c r="I410" s="14" t="n"/>
      <c r="J410" s="17" t="n"/>
      <c r="K410" s="17">
        <f>IF(OR(H410="",J410=""),"",H410*J410)</f>
        <v/>
      </c>
      <c r="L410" s="12" t="n"/>
      <c r="M410" s="15" t="n"/>
      <c r="N410" s="15" t="n"/>
      <c r="O410" s="14" t="n"/>
      <c r="P410" s="14">
        <f>IF(OR(L410="",D410="",O410="납품완료",O410="취소"),"",IF(L410&lt;TODAY(),"지연",IF(L410-TODAY()&lt;=$L$1,"임박","")))</f>
        <v/>
      </c>
      <c r="Q410" s="14" t="n"/>
      <c r="R410" s="15" t="n"/>
      <c r="S410" s="18">
        <f>IF(F410="","",IF(COUNTIF(F$4:F410,F410)=1,MAX(S$3:S409)+1,""))</f>
        <v/>
      </c>
    </row>
    <row r="411">
      <c r="A411" s="12" t="n"/>
      <c r="B411" s="13" t="n"/>
      <c r="C411" s="14" t="n"/>
      <c r="D411" s="15" t="n"/>
      <c r="E411" s="15" t="n"/>
      <c r="F411" s="15" t="n"/>
      <c r="G411" s="15" t="n"/>
      <c r="H411" s="16" t="n"/>
      <c r="I411" s="14" t="n"/>
      <c r="J411" s="17" t="n"/>
      <c r="K411" s="17">
        <f>IF(OR(H411="",J411=""),"",H411*J411)</f>
        <v/>
      </c>
      <c r="L411" s="12" t="n"/>
      <c r="M411" s="15" t="n"/>
      <c r="N411" s="15" t="n"/>
      <c r="O411" s="14" t="n"/>
      <c r="P411" s="14">
        <f>IF(OR(L411="",D411="",O411="납품완료",O411="취소"),"",IF(L411&lt;TODAY(),"지연",IF(L411-TODAY()&lt;=$L$1,"임박","")))</f>
        <v/>
      </c>
      <c r="Q411" s="14" t="n"/>
      <c r="R411" s="15" t="n"/>
      <c r="S411" s="18">
        <f>IF(F411="","",IF(COUNTIF(F$4:F411,F411)=1,MAX(S$3:S410)+1,""))</f>
        <v/>
      </c>
    </row>
    <row r="412">
      <c r="A412" s="12" t="n"/>
      <c r="B412" s="13" t="n"/>
      <c r="C412" s="14" t="n"/>
      <c r="D412" s="15" t="n"/>
      <c r="E412" s="15" t="n"/>
      <c r="F412" s="15" t="n"/>
      <c r="G412" s="15" t="n"/>
      <c r="H412" s="16" t="n"/>
      <c r="I412" s="14" t="n"/>
      <c r="J412" s="17" t="n"/>
      <c r="K412" s="17">
        <f>IF(OR(H412="",J412=""),"",H412*J412)</f>
        <v/>
      </c>
      <c r="L412" s="12" t="n"/>
      <c r="M412" s="15" t="n"/>
      <c r="N412" s="15" t="n"/>
      <c r="O412" s="14" t="n"/>
      <c r="P412" s="14">
        <f>IF(OR(L412="",D412="",O412="납품완료",O412="취소"),"",IF(L412&lt;TODAY(),"지연",IF(L412-TODAY()&lt;=$L$1,"임박","")))</f>
        <v/>
      </c>
      <c r="Q412" s="14" t="n"/>
      <c r="R412" s="15" t="n"/>
      <c r="S412" s="18">
        <f>IF(F412="","",IF(COUNTIF(F$4:F412,F412)=1,MAX(S$3:S411)+1,""))</f>
        <v/>
      </c>
    </row>
    <row r="413">
      <c r="A413" s="12" t="n"/>
      <c r="B413" s="13" t="n"/>
      <c r="C413" s="14" t="n"/>
      <c r="D413" s="15" t="n"/>
      <c r="E413" s="15" t="n"/>
      <c r="F413" s="15" t="n"/>
      <c r="G413" s="15" t="n"/>
      <c r="H413" s="16" t="n"/>
      <c r="I413" s="14" t="n"/>
      <c r="J413" s="17" t="n"/>
      <c r="K413" s="17">
        <f>IF(OR(H413="",J413=""),"",H413*J413)</f>
        <v/>
      </c>
      <c r="L413" s="12" t="n"/>
      <c r="M413" s="15" t="n"/>
      <c r="N413" s="15" t="n"/>
      <c r="O413" s="14" t="n"/>
      <c r="P413" s="14">
        <f>IF(OR(L413="",D413="",O413="납품완료",O413="취소"),"",IF(L413&lt;TODAY(),"지연",IF(L413-TODAY()&lt;=$L$1,"임박","")))</f>
        <v/>
      </c>
      <c r="Q413" s="14" t="n"/>
      <c r="R413" s="15" t="n"/>
      <c r="S413" s="18">
        <f>IF(F413="","",IF(COUNTIF(F$4:F413,F413)=1,MAX(S$3:S412)+1,""))</f>
        <v/>
      </c>
    </row>
    <row r="414">
      <c r="A414" s="12" t="n"/>
      <c r="B414" s="13" t="n"/>
      <c r="C414" s="14" t="n"/>
      <c r="D414" s="15" t="n"/>
      <c r="E414" s="15" t="n"/>
      <c r="F414" s="15" t="n"/>
      <c r="G414" s="15" t="n"/>
      <c r="H414" s="16" t="n"/>
      <c r="I414" s="14" t="n"/>
      <c r="J414" s="17" t="n"/>
      <c r="K414" s="17">
        <f>IF(OR(H414="",J414=""),"",H414*J414)</f>
        <v/>
      </c>
      <c r="L414" s="12" t="n"/>
      <c r="M414" s="15" t="n"/>
      <c r="N414" s="15" t="n"/>
      <c r="O414" s="14" t="n"/>
      <c r="P414" s="14">
        <f>IF(OR(L414="",D414="",O414="납품완료",O414="취소"),"",IF(L414&lt;TODAY(),"지연",IF(L414-TODAY()&lt;=$L$1,"임박","")))</f>
        <v/>
      </c>
      <c r="Q414" s="14" t="n"/>
      <c r="R414" s="15" t="n"/>
      <c r="S414" s="18">
        <f>IF(F414="","",IF(COUNTIF(F$4:F414,F414)=1,MAX(S$3:S413)+1,""))</f>
        <v/>
      </c>
    </row>
    <row r="415">
      <c r="A415" s="12" t="n"/>
      <c r="B415" s="13" t="n"/>
      <c r="C415" s="14" t="n"/>
      <c r="D415" s="15" t="n"/>
      <c r="E415" s="15" t="n"/>
      <c r="F415" s="15" t="n"/>
      <c r="G415" s="15" t="n"/>
      <c r="H415" s="16" t="n"/>
      <c r="I415" s="14" t="n"/>
      <c r="J415" s="17" t="n"/>
      <c r="K415" s="17">
        <f>IF(OR(H415="",J415=""),"",H415*J415)</f>
        <v/>
      </c>
      <c r="L415" s="12" t="n"/>
      <c r="M415" s="15" t="n"/>
      <c r="N415" s="15" t="n"/>
      <c r="O415" s="14" t="n"/>
      <c r="P415" s="14">
        <f>IF(OR(L415="",D415="",O415="납품완료",O415="취소"),"",IF(L415&lt;TODAY(),"지연",IF(L415-TODAY()&lt;=$L$1,"임박","")))</f>
        <v/>
      </c>
      <c r="Q415" s="14" t="n"/>
      <c r="R415" s="15" t="n"/>
      <c r="S415" s="18">
        <f>IF(F415="","",IF(COUNTIF(F$4:F415,F415)=1,MAX(S$3:S414)+1,""))</f>
        <v/>
      </c>
    </row>
    <row r="416">
      <c r="A416" s="12" t="n"/>
      <c r="B416" s="13" t="n"/>
      <c r="C416" s="14" t="n"/>
      <c r="D416" s="15" t="n"/>
      <c r="E416" s="15" t="n"/>
      <c r="F416" s="15" t="n"/>
      <c r="G416" s="15" t="n"/>
      <c r="H416" s="16" t="n"/>
      <c r="I416" s="14" t="n"/>
      <c r="J416" s="17" t="n"/>
      <c r="K416" s="17">
        <f>IF(OR(H416="",J416=""),"",H416*J416)</f>
        <v/>
      </c>
      <c r="L416" s="12" t="n"/>
      <c r="M416" s="15" t="n"/>
      <c r="N416" s="15" t="n"/>
      <c r="O416" s="14" t="n"/>
      <c r="P416" s="14">
        <f>IF(OR(L416="",D416="",O416="납품완료",O416="취소"),"",IF(L416&lt;TODAY(),"지연",IF(L416-TODAY()&lt;=$L$1,"임박","")))</f>
        <v/>
      </c>
      <c r="Q416" s="14" t="n"/>
      <c r="R416" s="15" t="n"/>
      <c r="S416" s="18">
        <f>IF(F416="","",IF(COUNTIF(F$4:F416,F416)=1,MAX(S$3:S415)+1,""))</f>
        <v/>
      </c>
    </row>
    <row r="417">
      <c r="A417" s="12" t="n"/>
      <c r="B417" s="13" t="n"/>
      <c r="C417" s="14" t="n"/>
      <c r="D417" s="15" t="n"/>
      <c r="E417" s="15" t="n"/>
      <c r="F417" s="15" t="n"/>
      <c r="G417" s="15" t="n"/>
      <c r="H417" s="16" t="n"/>
      <c r="I417" s="14" t="n"/>
      <c r="J417" s="17" t="n"/>
      <c r="K417" s="17">
        <f>IF(OR(H417="",J417=""),"",H417*J417)</f>
        <v/>
      </c>
      <c r="L417" s="12" t="n"/>
      <c r="M417" s="15" t="n"/>
      <c r="N417" s="15" t="n"/>
      <c r="O417" s="14" t="n"/>
      <c r="P417" s="14">
        <f>IF(OR(L417="",D417="",O417="납품완료",O417="취소"),"",IF(L417&lt;TODAY(),"지연",IF(L417-TODAY()&lt;=$L$1,"임박","")))</f>
        <v/>
      </c>
      <c r="Q417" s="14" t="n"/>
      <c r="R417" s="15" t="n"/>
      <c r="S417" s="18">
        <f>IF(F417="","",IF(COUNTIF(F$4:F417,F417)=1,MAX(S$3:S416)+1,""))</f>
        <v/>
      </c>
    </row>
    <row r="418">
      <c r="A418" s="12" t="n"/>
      <c r="B418" s="13" t="n"/>
      <c r="C418" s="14" t="n"/>
      <c r="D418" s="15" t="n"/>
      <c r="E418" s="15" t="n"/>
      <c r="F418" s="15" t="n"/>
      <c r="G418" s="15" t="n"/>
      <c r="H418" s="16" t="n"/>
      <c r="I418" s="14" t="n"/>
      <c r="J418" s="17" t="n"/>
      <c r="K418" s="17">
        <f>IF(OR(H418="",J418=""),"",H418*J418)</f>
        <v/>
      </c>
      <c r="L418" s="12" t="n"/>
      <c r="M418" s="15" t="n"/>
      <c r="N418" s="15" t="n"/>
      <c r="O418" s="14" t="n"/>
      <c r="P418" s="14">
        <f>IF(OR(L418="",D418="",O418="납품완료",O418="취소"),"",IF(L418&lt;TODAY(),"지연",IF(L418-TODAY()&lt;=$L$1,"임박","")))</f>
        <v/>
      </c>
      <c r="Q418" s="14" t="n"/>
      <c r="R418" s="15" t="n"/>
      <c r="S418" s="18">
        <f>IF(F418="","",IF(COUNTIF(F$4:F418,F418)=1,MAX(S$3:S417)+1,""))</f>
        <v/>
      </c>
    </row>
    <row r="419">
      <c r="A419" s="12" t="n"/>
      <c r="B419" s="13" t="n"/>
      <c r="C419" s="14" t="n"/>
      <c r="D419" s="15" t="n"/>
      <c r="E419" s="15" t="n"/>
      <c r="F419" s="15" t="n"/>
      <c r="G419" s="15" t="n"/>
      <c r="H419" s="16" t="n"/>
      <c r="I419" s="14" t="n"/>
      <c r="J419" s="17" t="n"/>
      <c r="K419" s="17">
        <f>IF(OR(H419="",J419=""),"",H419*J419)</f>
        <v/>
      </c>
      <c r="L419" s="12" t="n"/>
      <c r="M419" s="15" t="n"/>
      <c r="N419" s="15" t="n"/>
      <c r="O419" s="14" t="n"/>
      <c r="P419" s="14">
        <f>IF(OR(L419="",D419="",O419="납품완료",O419="취소"),"",IF(L419&lt;TODAY(),"지연",IF(L419-TODAY()&lt;=$L$1,"임박","")))</f>
        <v/>
      </c>
      <c r="Q419" s="14" t="n"/>
      <c r="R419" s="15" t="n"/>
      <c r="S419" s="18">
        <f>IF(F419="","",IF(COUNTIF(F$4:F419,F419)=1,MAX(S$3:S418)+1,""))</f>
        <v/>
      </c>
    </row>
    <row r="420">
      <c r="A420" s="12" t="n"/>
      <c r="B420" s="13" t="n"/>
      <c r="C420" s="14" t="n"/>
      <c r="D420" s="15" t="n"/>
      <c r="E420" s="15" t="n"/>
      <c r="F420" s="15" t="n"/>
      <c r="G420" s="15" t="n"/>
      <c r="H420" s="16" t="n"/>
      <c r="I420" s="14" t="n"/>
      <c r="J420" s="17" t="n"/>
      <c r="K420" s="17">
        <f>IF(OR(H420="",J420=""),"",H420*J420)</f>
        <v/>
      </c>
      <c r="L420" s="12" t="n"/>
      <c r="M420" s="15" t="n"/>
      <c r="N420" s="15" t="n"/>
      <c r="O420" s="14" t="n"/>
      <c r="P420" s="14">
        <f>IF(OR(L420="",D420="",O420="납품완료",O420="취소"),"",IF(L420&lt;TODAY(),"지연",IF(L420-TODAY()&lt;=$L$1,"임박","")))</f>
        <v/>
      </c>
      <c r="Q420" s="14" t="n"/>
      <c r="R420" s="15" t="n"/>
      <c r="S420" s="18">
        <f>IF(F420="","",IF(COUNTIF(F$4:F420,F420)=1,MAX(S$3:S419)+1,""))</f>
        <v/>
      </c>
    </row>
    <row r="421">
      <c r="A421" s="12" t="n"/>
      <c r="B421" s="13" t="n"/>
      <c r="C421" s="14" t="n"/>
      <c r="D421" s="15" t="n"/>
      <c r="E421" s="15" t="n"/>
      <c r="F421" s="15" t="n"/>
      <c r="G421" s="15" t="n"/>
      <c r="H421" s="16" t="n"/>
      <c r="I421" s="14" t="n"/>
      <c r="J421" s="17" t="n"/>
      <c r="K421" s="17">
        <f>IF(OR(H421="",J421=""),"",H421*J421)</f>
        <v/>
      </c>
      <c r="L421" s="12" t="n"/>
      <c r="M421" s="15" t="n"/>
      <c r="N421" s="15" t="n"/>
      <c r="O421" s="14" t="n"/>
      <c r="P421" s="14">
        <f>IF(OR(L421="",D421="",O421="납품완료",O421="취소"),"",IF(L421&lt;TODAY(),"지연",IF(L421-TODAY()&lt;=$L$1,"임박","")))</f>
        <v/>
      </c>
      <c r="Q421" s="14" t="n"/>
      <c r="R421" s="15" t="n"/>
      <c r="S421" s="18">
        <f>IF(F421="","",IF(COUNTIF(F$4:F421,F421)=1,MAX(S$3:S420)+1,""))</f>
        <v/>
      </c>
    </row>
    <row r="422">
      <c r="A422" s="12" t="n"/>
      <c r="B422" s="13" t="n"/>
      <c r="C422" s="14" t="n"/>
      <c r="D422" s="15" t="n"/>
      <c r="E422" s="15" t="n"/>
      <c r="F422" s="15" t="n"/>
      <c r="G422" s="15" t="n"/>
      <c r="H422" s="16" t="n"/>
      <c r="I422" s="14" t="n"/>
      <c r="J422" s="17" t="n"/>
      <c r="K422" s="17">
        <f>IF(OR(H422="",J422=""),"",H422*J422)</f>
        <v/>
      </c>
      <c r="L422" s="12" t="n"/>
      <c r="M422" s="15" t="n"/>
      <c r="N422" s="15" t="n"/>
      <c r="O422" s="14" t="n"/>
      <c r="P422" s="14">
        <f>IF(OR(L422="",D422="",O422="납품완료",O422="취소"),"",IF(L422&lt;TODAY(),"지연",IF(L422-TODAY()&lt;=$L$1,"임박","")))</f>
        <v/>
      </c>
      <c r="Q422" s="14" t="n"/>
      <c r="R422" s="15" t="n"/>
      <c r="S422" s="18">
        <f>IF(F422="","",IF(COUNTIF(F$4:F422,F422)=1,MAX(S$3:S421)+1,""))</f>
        <v/>
      </c>
    </row>
    <row r="423">
      <c r="A423" s="12" t="n"/>
      <c r="B423" s="13" t="n"/>
      <c r="C423" s="14" t="n"/>
      <c r="D423" s="15" t="n"/>
      <c r="E423" s="15" t="n"/>
      <c r="F423" s="15" t="n"/>
      <c r="G423" s="15" t="n"/>
      <c r="H423" s="16" t="n"/>
      <c r="I423" s="14" t="n"/>
      <c r="J423" s="17" t="n"/>
      <c r="K423" s="17">
        <f>IF(OR(H423="",J423=""),"",H423*J423)</f>
        <v/>
      </c>
      <c r="L423" s="12" t="n"/>
      <c r="M423" s="15" t="n"/>
      <c r="N423" s="15" t="n"/>
      <c r="O423" s="14" t="n"/>
      <c r="P423" s="14">
        <f>IF(OR(L423="",D423="",O423="납품완료",O423="취소"),"",IF(L423&lt;TODAY(),"지연",IF(L423-TODAY()&lt;=$L$1,"임박","")))</f>
        <v/>
      </c>
      <c r="Q423" s="14" t="n"/>
      <c r="R423" s="15" t="n"/>
      <c r="S423" s="18">
        <f>IF(F423="","",IF(COUNTIF(F$4:F423,F423)=1,MAX(S$3:S422)+1,""))</f>
        <v/>
      </c>
    </row>
    <row r="424">
      <c r="A424" s="12" t="n"/>
      <c r="B424" s="13" t="n"/>
      <c r="C424" s="14" t="n"/>
      <c r="D424" s="15" t="n"/>
      <c r="E424" s="15" t="n"/>
      <c r="F424" s="15" t="n"/>
      <c r="G424" s="15" t="n"/>
      <c r="H424" s="16" t="n"/>
      <c r="I424" s="14" t="n"/>
      <c r="J424" s="17" t="n"/>
      <c r="K424" s="17">
        <f>IF(OR(H424="",J424=""),"",H424*J424)</f>
        <v/>
      </c>
      <c r="L424" s="12" t="n"/>
      <c r="M424" s="15" t="n"/>
      <c r="N424" s="15" t="n"/>
      <c r="O424" s="14" t="n"/>
      <c r="P424" s="14">
        <f>IF(OR(L424="",D424="",O424="납품완료",O424="취소"),"",IF(L424&lt;TODAY(),"지연",IF(L424-TODAY()&lt;=$L$1,"임박","")))</f>
        <v/>
      </c>
      <c r="Q424" s="14" t="n"/>
      <c r="R424" s="15" t="n"/>
      <c r="S424" s="18">
        <f>IF(F424="","",IF(COUNTIF(F$4:F424,F424)=1,MAX(S$3:S423)+1,""))</f>
        <v/>
      </c>
    </row>
    <row r="425">
      <c r="A425" s="12" t="n"/>
      <c r="B425" s="13" t="n"/>
      <c r="C425" s="14" t="n"/>
      <c r="D425" s="15" t="n"/>
      <c r="E425" s="15" t="n"/>
      <c r="F425" s="15" t="n"/>
      <c r="G425" s="15" t="n"/>
      <c r="H425" s="16" t="n"/>
      <c r="I425" s="14" t="n"/>
      <c r="J425" s="17" t="n"/>
      <c r="K425" s="17">
        <f>IF(OR(H425="",J425=""),"",H425*J425)</f>
        <v/>
      </c>
      <c r="L425" s="12" t="n"/>
      <c r="M425" s="15" t="n"/>
      <c r="N425" s="15" t="n"/>
      <c r="O425" s="14" t="n"/>
      <c r="P425" s="14">
        <f>IF(OR(L425="",D425="",O425="납품완료",O425="취소"),"",IF(L425&lt;TODAY(),"지연",IF(L425-TODAY()&lt;=$L$1,"임박","")))</f>
        <v/>
      </c>
      <c r="Q425" s="14" t="n"/>
      <c r="R425" s="15" t="n"/>
      <c r="S425" s="18">
        <f>IF(F425="","",IF(COUNTIF(F$4:F425,F425)=1,MAX(S$3:S424)+1,""))</f>
        <v/>
      </c>
    </row>
    <row r="426">
      <c r="A426" s="12" t="n"/>
      <c r="B426" s="13" t="n"/>
      <c r="C426" s="14" t="n"/>
      <c r="D426" s="15" t="n"/>
      <c r="E426" s="15" t="n"/>
      <c r="F426" s="15" t="n"/>
      <c r="G426" s="15" t="n"/>
      <c r="H426" s="16" t="n"/>
      <c r="I426" s="14" t="n"/>
      <c r="J426" s="17" t="n"/>
      <c r="K426" s="17">
        <f>IF(OR(H426="",J426=""),"",H426*J426)</f>
        <v/>
      </c>
      <c r="L426" s="12" t="n"/>
      <c r="M426" s="15" t="n"/>
      <c r="N426" s="15" t="n"/>
      <c r="O426" s="14" t="n"/>
      <c r="P426" s="14">
        <f>IF(OR(L426="",D426="",O426="납품완료",O426="취소"),"",IF(L426&lt;TODAY(),"지연",IF(L426-TODAY()&lt;=$L$1,"임박","")))</f>
        <v/>
      </c>
      <c r="Q426" s="14" t="n"/>
      <c r="R426" s="15" t="n"/>
      <c r="S426" s="18">
        <f>IF(F426="","",IF(COUNTIF(F$4:F426,F426)=1,MAX(S$3:S425)+1,""))</f>
        <v/>
      </c>
    </row>
    <row r="427">
      <c r="A427" s="12" t="n"/>
      <c r="B427" s="13" t="n"/>
      <c r="C427" s="14" t="n"/>
      <c r="D427" s="15" t="n"/>
      <c r="E427" s="15" t="n"/>
      <c r="F427" s="15" t="n"/>
      <c r="G427" s="15" t="n"/>
      <c r="H427" s="16" t="n"/>
      <c r="I427" s="14" t="n"/>
      <c r="J427" s="17" t="n"/>
      <c r="K427" s="17">
        <f>IF(OR(H427="",J427=""),"",H427*J427)</f>
        <v/>
      </c>
      <c r="L427" s="12" t="n"/>
      <c r="M427" s="15" t="n"/>
      <c r="N427" s="15" t="n"/>
      <c r="O427" s="14" t="n"/>
      <c r="P427" s="14">
        <f>IF(OR(L427="",D427="",O427="납품완료",O427="취소"),"",IF(L427&lt;TODAY(),"지연",IF(L427-TODAY()&lt;=$L$1,"임박","")))</f>
        <v/>
      </c>
      <c r="Q427" s="14" t="n"/>
      <c r="R427" s="15" t="n"/>
      <c r="S427" s="18">
        <f>IF(F427="","",IF(COUNTIF(F$4:F427,F427)=1,MAX(S$3:S426)+1,""))</f>
        <v/>
      </c>
    </row>
    <row r="428">
      <c r="A428" s="12" t="n"/>
      <c r="B428" s="13" t="n"/>
      <c r="C428" s="14" t="n"/>
      <c r="D428" s="15" t="n"/>
      <c r="E428" s="15" t="n"/>
      <c r="F428" s="15" t="n"/>
      <c r="G428" s="15" t="n"/>
      <c r="H428" s="16" t="n"/>
      <c r="I428" s="14" t="n"/>
      <c r="J428" s="17" t="n"/>
      <c r="K428" s="17">
        <f>IF(OR(H428="",J428=""),"",H428*J428)</f>
        <v/>
      </c>
      <c r="L428" s="12" t="n"/>
      <c r="M428" s="15" t="n"/>
      <c r="N428" s="15" t="n"/>
      <c r="O428" s="14" t="n"/>
      <c r="P428" s="14">
        <f>IF(OR(L428="",D428="",O428="납품완료",O428="취소"),"",IF(L428&lt;TODAY(),"지연",IF(L428-TODAY()&lt;=$L$1,"임박","")))</f>
        <v/>
      </c>
      <c r="Q428" s="14" t="n"/>
      <c r="R428" s="15" t="n"/>
      <c r="S428" s="18">
        <f>IF(F428="","",IF(COUNTIF(F$4:F428,F428)=1,MAX(S$3:S427)+1,""))</f>
        <v/>
      </c>
    </row>
    <row r="429">
      <c r="A429" s="12" t="n"/>
      <c r="B429" s="13" t="n"/>
      <c r="C429" s="14" t="n"/>
      <c r="D429" s="15" t="n"/>
      <c r="E429" s="15" t="n"/>
      <c r="F429" s="15" t="n"/>
      <c r="G429" s="15" t="n"/>
      <c r="H429" s="16" t="n"/>
      <c r="I429" s="14" t="n"/>
      <c r="J429" s="17" t="n"/>
      <c r="K429" s="17">
        <f>IF(OR(H429="",J429=""),"",H429*J429)</f>
        <v/>
      </c>
      <c r="L429" s="12" t="n"/>
      <c r="M429" s="15" t="n"/>
      <c r="N429" s="15" t="n"/>
      <c r="O429" s="14" t="n"/>
      <c r="P429" s="14">
        <f>IF(OR(L429="",D429="",O429="납품완료",O429="취소"),"",IF(L429&lt;TODAY(),"지연",IF(L429-TODAY()&lt;=$L$1,"임박","")))</f>
        <v/>
      </c>
      <c r="Q429" s="14" t="n"/>
      <c r="R429" s="15" t="n"/>
      <c r="S429" s="18">
        <f>IF(F429="","",IF(COUNTIF(F$4:F429,F429)=1,MAX(S$3:S428)+1,""))</f>
        <v/>
      </c>
    </row>
    <row r="430">
      <c r="A430" s="12" t="n"/>
      <c r="B430" s="13" t="n"/>
      <c r="C430" s="14" t="n"/>
      <c r="D430" s="15" t="n"/>
      <c r="E430" s="15" t="n"/>
      <c r="F430" s="15" t="n"/>
      <c r="G430" s="15" t="n"/>
      <c r="H430" s="16" t="n"/>
      <c r="I430" s="14" t="n"/>
      <c r="J430" s="17" t="n"/>
      <c r="K430" s="17">
        <f>IF(OR(H430="",J430=""),"",H430*J430)</f>
        <v/>
      </c>
      <c r="L430" s="12" t="n"/>
      <c r="M430" s="15" t="n"/>
      <c r="N430" s="15" t="n"/>
      <c r="O430" s="14" t="n"/>
      <c r="P430" s="14">
        <f>IF(OR(L430="",D430="",O430="납품완료",O430="취소"),"",IF(L430&lt;TODAY(),"지연",IF(L430-TODAY()&lt;=$L$1,"임박","")))</f>
        <v/>
      </c>
      <c r="Q430" s="14" t="n"/>
      <c r="R430" s="15" t="n"/>
      <c r="S430" s="18">
        <f>IF(F430="","",IF(COUNTIF(F$4:F430,F430)=1,MAX(S$3:S429)+1,""))</f>
        <v/>
      </c>
    </row>
    <row r="431">
      <c r="A431" s="12" t="n"/>
      <c r="B431" s="13" t="n"/>
      <c r="C431" s="14" t="n"/>
      <c r="D431" s="15" t="n"/>
      <c r="E431" s="15" t="n"/>
      <c r="F431" s="15" t="n"/>
      <c r="G431" s="15" t="n"/>
      <c r="H431" s="16" t="n"/>
      <c r="I431" s="14" t="n"/>
      <c r="J431" s="17" t="n"/>
      <c r="K431" s="17">
        <f>IF(OR(H431="",J431=""),"",H431*J431)</f>
        <v/>
      </c>
      <c r="L431" s="12" t="n"/>
      <c r="M431" s="15" t="n"/>
      <c r="N431" s="15" t="n"/>
      <c r="O431" s="14" t="n"/>
      <c r="P431" s="14">
        <f>IF(OR(L431="",D431="",O431="납품완료",O431="취소"),"",IF(L431&lt;TODAY(),"지연",IF(L431-TODAY()&lt;=$L$1,"임박","")))</f>
        <v/>
      </c>
      <c r="Q431" s="14" t="n"/>
      <c r="R431" s="15" t="n"/>
      <c r="S431" s="18">
        <f>IF(F431="","",IF(COUNTIF(F$4:F431,F431)=1,MAX(S$3:S430)+1,""))</f>
        <v/>
      </c>
    </row>
    <row r="432">
      <c r="A432" s="12" t="n"/>
      <c r="B432" s="13" t="n"/>
      <c r="C432" s="14" t="n"/>
      <c r="D432" s="15" t="n"/>
      <c r="E432" s="15" t="n"/>
      <c r="F432" s="15" t="n"/>
      <c r="G432" s="15" t="n"/>
      <c r="H432" s="16" t="n"/>
      <c r="I432" s="14" t="n"/>
      <c r="J432" s="17" t="n"/>
      <c r="K432" s="17">
        <f>IF(OR(H432="",J432=""),"",H432*J432)</f>
        <v/>
      </c>
      <c r="L432" s="12" t="n"/>
      <c r="M432" s="15" t="n"/>
      <c r="N432" s="15" t="n"/>
      <c r="O432" s="14" t="n"/>
      <c r="P432" s="14">
        <f>IF(OR(L432="",D432="",O432="납품완료",O432="취소"),"",IF(L432&lt;TODAY(),"지연",IF(L432-TODAY()&lt;=$L$1,"임박","")))</f>
        <v/>
      </c>
      <c r="Q432" s="14" t="n"/>
      <c r="R432" s="15" t="n"/>
      <c r="S432" s="18">
        <f>IF(F432="","",IF(COUNTIF(F$4:F432,F432)=1,MAX(S$3:S431)+1,""))</f>
        <v/>
      </c>
    </row>
    <row r="433">
      <c r="A433" s="12" t="n"/>
      <c r="B433" s="13" t="n"/>
      <c r="C433" s="14" t="n"/>
      <c r="D433" s="15" t="n"/>
      <c r="E433" s="15" t="n"/>
      <c r="F433" s="15" t="n"/>
      <c r="G433" s="15" t="n"/>
      <c r="H433" s="16" t="n"/>
      <c r="I433" s="14" t="n"/>
      <c r="J433" s="17" t="n"/>
      <c r="K433" s="17">
        <f>IF(OR(H433="",J433=""),"",H433*J433)</f>
        <v/>
      </c>
      <c r="L433" s="12" t="n"/>
      <c r="M433" s="15" t="n"/>
      <c r="N433" s="15" t="n"/>
      <c r="O433" s="14" t="n"/>
      <c r="P433" s="14">
        <f>IF(OR(L433="",D433="",O433="납품완료",O433="취소"),"",IF(L433&lt;TODAY(),"지연",IF(L433-TODAY()&lt;=$L$1,"임박","")))</f>
        <v/>
      </c>
      <c r="Q433" s="14" t="n"/>
      <c r="R433" s="15" t="n"/>
      <c r="S433" s="18">
        <f>IF(F433="","",IF(COUNTIF(F$4:F433,F433)=1,MAX(S$3:S432)+1,""))</f>
        <v/>
      </c>
    </row>
    <row r="434">
      <c r="A434" s="12" t="n"/>
      <c r="B434" s="13" t="n"/>
      <c r="C434" s="14" t="n"/>
      <c r="D434" s="15" t="n"/>
      <c r="E434" s="15" t="n"/>
      <c r="F434" s="15" t="n"/>
      <c r="G434" s="15" t="n"/>
      <c r="H434" s="16" t="n"/>
      <c r="I434" s="14" t="n"/>
      <c r="J434" s="17" t="n"/>
      <c r="K434" s="17">
        <f>IF(OR(H434="",J434=""),"",H434*J434)</f>
        <v/>
      </c>
      <c r="L434" s="12" t="n"/>
      <c r="M434" s="15" t="n"/>
      <c r="N434" s="15" t="n"/>
      <c r="O434" s="14" t="n"/>
      <c r="P434" s="14">
        <f>IF(OR(L434="",D434="",O434="납품완료",O434="취소"),"",IF(L434&lt;TODAY(),"지연",IF(L434-TODAY()&lt;=$L$1,"임박","")))</f>
        <v/>
      </c>
      <c r="Q434" s="14" t="n"/>
      <c r="R434" s="15" t="n"/>
      <c r="S434" s="18">
        <f>IF(F434="","",IF(COUNTIF(F$4:F434,F434)=1,MAX(S$3:S433)+1,""))</f>
        <v/>
      </c>
    </row>
    <row r="435">
      <c r="A435" s="12" t="n"/>
      <c r="B435" s="13" t="n"/>
      <c r="C435" s="14" t="n"/>
      <c r="D435" s="15" t="n"/>
      <c r="E435" s="15" t="n"/>
      <c r="F435" s="15" t="n"/>
      <c r="G435" s="15" t="n"/>
      <c r="H435" s="16" t="n"/>
      <c r="I435" s="14" t="n"/>
      <c r="J435" s="17" t="n"/>
      <c r="K435" s="17">
        <f>IF(OR(H435="",J435=""),"",H435*J435)</f>
        <v/>
      </c>
      <c r="L435" s="12" t="n"/>
      <c r="M435" s="15" t="n"/>
      <c r="N435" s="15" t="n"/>
      <c r="O435" s="14" t="n"/>
      <c r="P435" s="14">
        <f>IF(OR(L435="",D435="",O435="납품완료",O435="취소"),"",IF(L435&lt;TODAY(),"지연",IF(L435-TODAY()&lt;=$L$1,"임박","")))</f>
        <v/>
      </c>
      <c r="Q435" s="14" t="n"/>
      <c r="R435" s="15" t="n"/>
      <c r="S435" s="18">
        <f>IF(F435="","",IF(COUNTIF(F$4:F435,F435)=1,MAX(S$3:S434)+1,""))</f>
        <v/>
      </c>
    </row>
    <row r="436">
      <c r="A436" s="12" t="n"/>
      <c r="B436" s="13" t="n"/>
      <c r="C436" s="14" t="n"/>
      <c r="D436" s="15" t="n"/>
      <c r="E436" s="15" t="n"/>
      <c r="F436" s="15" t="n"/>
      <c r="G436" s="15" t="n"/>
      <c r="H436" s="16" t="n"/>
      <c r="I436" s="14" t="n"/>
      <c r="J436" s="17" t="n"/>
      <c r="K436" s="17">
        <f>IF(OR(H436="",J436=""),"",H436*J436)</f>
        <v/>
      </c>
      <c r="L436" s="12" t="n"/>
      <c r="M436" s="15" t="n"/>
      <c r="N436" s="15" t="n"/>
      <c r="O436" s="14" t="n"/>
      <c r="P436" s="14">
        <f>IF(OR(L436="",D436="",O436="납품완료",O436="취소"),"",IF(L436&lt;TODAY(),"지연",IF(L436-TODAY()&lt;=$L$1,"임박","")))</f>
        <v/>
      </c>
      <c r="Q436" s="14" t="n"/>
      <c r="R436" s="15" t="n"/>
      <c r="S436" s="18">
        <f>IF(F436="","",IF(COUNTIF(F$4:F436,F436)=1,MAX(S$3:S435)+1,""))</f>
        <v/>
      </c>
    </row>
    <row r="437">
      <c r="A437" s="12" t="n"/>
      <c r="B437" s="13" t="n"/>
      <c r="C437" s="14" t="n"/>
      <c r="D437" s="15" t="n"/>
      <c r="E437" s="15" t="n"/>
      <c r="F437" s="15" t="n"/>
      <c r="G437" s="15" t="n"/>
      <c r="H437" s="16" t="n"/>
      <c r="I437" s="14" t="n"/>
      <c r="J437" s="17" t="n"/>
      <c r="K437" s="17">
        <f>IF(OR(H437="",J437=""),"",H437*J437)</f>
        <v/>
      </c>
      <c r="L437" s="12" t="n"/>
      <c r="M437" s="15" t="n"/>
      <c r="N437" s="15" t="n"/>
      <c r="O437" s="14" t="n"/>
      <c r="P437" s="14">
        <f>IF(OR(L437="",D437="",O437="납품완료",O437="취소"),"",IF(L437&lt;TODAY(),"지연",IF(L437-TODAY()&lt;=$L$1,"임박","")))</f>
        <v/>
      </c>
      <c r="Q437" s="14" t="n"/>
      <c r="R437" s="15" t="n"/>
      <c r="S437" s="18">
        <f>IF(F437="","",IF(COUNTIF(F$4:F437,F437)=1,MAX(S$3:S436)+1,""))</f>
        <v/>
      </c>
    </row>
    <row r="438">
      <c r="A438" s="12" t="n"/>
      <c r="B438" s="13" t="n"/>
      <c r="C438" s="14" t="n"/>
      <c r="D438" s="15" t="n"/>
      <c r="E438" s="15" t="n"/>
      <c r="F438" s="15" t="n"/>
      <c r="G438" s="15" t="n"/>
      <c r="H438" s="16" t="n"/>
      <c r="I438" s="14" t="n"/>
      <c r="J438" s="17" t="n"/>
      <c r="K438" s="17">
        <f>IF(OR(H438="",J438=""),"",H438*J438)</f>
        <v/>
      </c>
      <c r="L438" s="12" t="n"/>
      <c r="M438" s="15" t="n"/>
      <c r="N438" s="15" t="n"/>
      <c r="O438" s="14" t="n"/>
      <c r="P438" s="14">
        <f>IF(OR(L438="",D438="",O438="납품완료",O438="취소"),"",IF(L438&lt;TODAY(),"지연",IF(L438-TODAY()&lt;=$L$1,"임박","")))</f>
        <v/>
      </c>
      <c r="Q438" s="14" t="n"/>
      <c r="R438" s="15" t="n"/>
      <c r="S438" s="18">
        <f>IF(F438="","",IF(COUNTIF(F$4:F438,F438)=1,MAX(S$3:S437)+1,""))</f>
        <v/>
      </c>
    </row>
    <row r="439">
      <c r="A439" s="12" t="n"/>
      <c r="B439" s="13" t="n"/>
      <c r="C439" s="14" t="n"/>
      <c r="D439" s="15" t="n"/>
      <c r="E439" s="15" t="n"/>
      <c r="F439" s="15" t="n"/>
      <c r="G439" s="15" t="n"/>
      <c r="H439" s="16" t="n"/>
      <c r="I439" s="14" t="n"/>
      <c r="J439" s="17" t="n"/>
      <c r="K439" s="17">
        <f>IF(OR(H439="",J439=""),"",H439*J439)</f>
        <v/>
      </c>
      <c r="L439" s="12" t="n"/>
      <c r="M439" s="15" t="n"/>
      <c r="N439" s="15" t="n"/>
      <c r="O439" s="14" t="n"/>
      <c r="P439" s="14">
        <f>IF(OR(L439="",D439="",O439="납품완료",O439="취소"),"",IF(L439&lt;TODAY(),"지연",IF(L439-TODAY()&lt;=$L$1,"임박","")))</f>
        <v/>
      </c>
      <c r="Q439" s="14" t="n"/>
      <c r="R439" s="15" t="n"/>
      <c r="S439" s="18">
        <f>IF(F439="","",IF(COUNTIF(F$4:F439,F439)=1,MAX(S$3:S438)+1,""))</f>
        <v/>
      </c>
    </row>
    <row r="440">
      <c r="A440" s="12" t="n"/>
      <c r="B440" s="13" t="n"/>
      <c r="C440" s="14" t="n"/>
      <c r="D440" s="15" t="n"/>
      <c r="E440" s="15" t="n"/>
      <c r="F440" s="15" t="n"/>
      <c r="G440" s="15" t="n"/>
      <c r="H440" s="16" t="n"/>
      <c r="I440" s="14" t="n"/>
      <c r="J440" s="17" t="n"/>
      <c r="K440" s="17">
        <f>IF(OR(H440="",J440=""),"",H440*J440)</f>
        <v/>
      </c>
      <c r="L440" s="12" t="n"/>
      <c r="M440" s="15" t="n"/>
      <c r="N440" s="15" t="n"/>
      <c r="O440" s="14" t="n"/>
      <c r="P440" s="14">
        <f>IF(OR(L440="",D440="",O440="납품완료",O440="취소"),"",IF(L440&lt;TODAY(),"지연",IF(L440-TODAY()&lt;=$L$1,"임박","")))</f>
        <v/>
      </c>
      <c r="Q440" s="14" t="n"/>
      <c r="R440" s="15" t="n"/>
      <c r="S440" s="18">
        <f>IF(F440="","",IF(COUNTIF(F$4:F440,F440)=1,MAX(S$3:S439)+1,""))</f>
        <v/>
      </c>
    </row>
    <row r="441">
      <c r="A441" s="12" t="n"/>
      <c r="B441" s="13" t="n"/>
      <c r="C441" s="14" t="n"/>
      <c r="D441" s="15" t="n"/>
      <c r="E441" s="15" t="n"/>
      <c r="F441" s="15" t="n"/>
      <c r="G441" s="15" t="n"/>
      <c r="H441" s="16" t="n"/>
      <c r="I441" s="14" t="n"/>
      <c r="J441" s="17" t="n"/>
      <c r="K441" s="17">
        <f>IF(OR(H441="",J441=""),"",H441*J441)</f>
        <v/>
      </c>
      <c r="L441" s="12" t="n"/>
      <c r="M441" s="15" t="n"/>
      <c r="N441" s="15" t="n"/>
      <c r="O441" s="14" t="n"/>
      <c r="P441" s="14">
        <f>IF(OR(L441="",D441="",O441="납품완료",O441="취소"),"",IF(L441&lt;TODAY(),"지연",IF(L441-TODAY()&lt;=$L$1,"임박","")))</f>
        <v/>
      </c>
      <c r="Q441" s="14" t="n"/>
      <c r="R441" s="15" t="n"/>
      <c r="S441" s="18">
        <f>IF(F441="","",IF(COUNTIF(F$4:F441,F441)=1,MAX(S$3:S440)+1,""))</f>
        <v/>
      </c>
    </row>
    <row r="442">
      <c r="A442" s="12" t="n"/>
      <c r="B442" s="13" t="n"/>
      <c r="C442" s="14" t="n"/>
      <c r="D442" s="15" t="n"/>
      <c r="E442" s="15" t="n"/>
      <c r="F442" s="15" t="n"/>
      <c r="G442" s="15" t="n"/>
      <c r="H442" s="16" t="n"/>
      <c r="I442" s="14" t="n"/>
      <c r="J442" s="17" t="n"/>
      <c r="K442" s="17">
        <f>IF(OR(H442="",J442=""),"",H442*J442)</f>
        <v/>
      </c>
      <c r="L442" s="12" t="n"/>
      <c r="M442" s="15" t="n"/>
      <c r="N442" s="15" t="n"/>
      <c r="O442" s="14" t="n"/>
      <c r="P442" s="14">
        <f>IF(OR(L442="",D442="",O442="납품완료",O442="취소"),"",IF(L442&lt;TODAY(),"지연",IF(L442-TODAY()&lt;=$L$1,"임박","")))</f>
        <v/>
      </c>
      <c r="Q442" s="14" t="n"/>
      <c r="R442" s="15" t="n"/>
      <c r="S442" s="18">
        <f>IF(F442="","",IF(COUNTIF(F$4:F442,F442)=1,MAX(S$3:S441)+1,""))</f>
        <v/>
      </c>
    </row>
    <row r="443">
      <c r="A443" s="12" t="n"/>
      <c r="B443" s="13" t="n"/>
      <c r="C443" s="14" t="n"/>
      <c r="D443" s="15" t="n"/>
      <c r="E443" s="15" t="n"/>
      <c r="F443" s="15" t="n"/>
      <c r="G443" s="15" t="n"/>
      <c r="H443" s="16" t="n"/>
      <c r="I443" s="14" t="n"/>
      <c r="J443" s="17" t="n"/>
      <c r="K443" s="17">
        <f>IF(OR(H443="",J443=""),"",H443*J443)</f>
        <v/>
      </c>
      <c r="L443" s="12" t="n"/>
      <c r="M443" s="15" t="n"/>
      <c r="N443" s="15" t="n"/>
      <c r="O443" s="14" t="n"/>
      <c r="P443" s="14">
        <f>IF(OR(L443="",D443="",O443="납품완료",O443="취소"),"",IF(L443&lt;TODAY(),"지연",IF(L443-TODAY()&lt;=$L$1,"임박","")))</f>
        <v/>
      </c>
      <c r="Q443" s="14" t="n"/>
      <c r="R443" s="15" t="n"/>
      <c r="S443" s="18">
        <f>IF(F443="","",IF(COUNTIF(F$4:F443,F443)=1,MAX(S$3:S442)+1,""))</f>
        <v/>
      </c>
    </row>
    <row r="444">
      <c r="A444" s="12" t="n"/>
      <c r="B444" s="13" t="n"/>
      <c r="C444" s="14" t="n"/>
      <c r="D444" s="15" t="n"/>
      <c r="E444" s="15" t="n"/>
      <c r="F444" s="15" t="n"/>
      <c r="G444" s="15" t="n"/>
      <c r="H444" s="16" t="n"/>
      <c r="I444" s="14" t="n"/>
      <c r="J444" s="17" t="n"/>
      <c r="K444" s="17">
        <f>IF(OR(H444="",J444=""),"",H444*J444)</f>
        <v/>
      </c>
      <c r="L444" s="12" t="n"/>
      <c r="M444" s="15" t="n"/>
      <c r="N444" s="15" t="n"/>
      <c r="O444" s="14" t="n"/>
      <c r="P444" s="14">
        <f>IF(OR(L444="",D444="",O444="납품완료",O444="취소"),"",IF(L444&lt;TODAY(),"지연",IF(L444-TODAY()&lt;=$L$1,"임박","")))</f>
        <v/>
      </c>
      <c r="Q444" s="14" t="n"/>
      <c r="R444" s="15" t="n"/>
      <c r="S444" s="18">
        <f>IF(F444="","",IF(COUNTIF(F$4:F444,F444)=1,MAX(S$3:S443)+1,""))</f>
        <v/>
      </c>
    </row>
    <row r="445">
      <c r="A445" s="12" t="n"/>
      <c r="B445" s="13" t="n"/>
      <c r="C445" s="14" t="n"/>
      <c r="D445" s="15" t="n"/>
      <c r="E445" s="15" t="n"/>
      <c r="F445" s="15" t="n"/>
      <c r="G445" s="15" t="n"/>
      <c r="H445" s="16" t="n"/>
      <c r="I445" s="14" t="n"/>
      <c r="J445" s="17" t="n"/>
      <c r="K445" s="17">
        <f>IF(OR(H445="",J445=""),"",H445*J445)</f>
        <v/>
      </c>
      <c r="L445" s="12" t="n"/>
      <c r="M445" s="15" t="n"/>
      <c r="N445" s="15" t="n"/>
      <c r="O445" s="14" t="n"/>
      <c r="P445" s="14">
        <f>IF(OR(L445="",D445="",O445="납품완료",O445="취소"),"",IF(L445&lt;TODAY(),"지연",IF(L445-TODAY()&lt;=$L$1,"임박","")))</f>
        <v/>
      </c>
      <c r="Q445" s="14" t="n"/>
      <c r="R445" s="15" t="n"/>
      <c r="S445" s="18">
        <f>IF(F445="","",IF(COUNTIF(F$4:F445,F445)=1,MAX(S$3:S444)+1,""))</f>
        <v/>
      </c>
    </row>
    <row r="446">
      <c r="A446" s="12" t="n"/>
      <c r="B446" s="13" t="n"/>
      <c r="C446" s="14" t="n"/>
      <c r="D446" s="15" t="n"/>
      <c r="E446" s="15" t="n"/>
      <c r="F446" s="15" t="n"/>
      <c r="G446" s="15" t="n"/>
      <c r="H446" s="16" t="n"/>
      <c r="I446" s="14" t="n"/>
      <c r="J446" s="17" t="n"/>
      <c r="K446" s="17">
        <f>IF(OR(H446="",J446=""),"",H446*J446)</f>
        <v/>
      </c>
      <c r="L446" s="12" t="n"/>
      <c r="M446" s="15" t="n"/>
      <c r="N446" s="15" t="n"/>
      <c r="O446" s="14" t="n"/>
      <c r="P446" s="14">
        <f>IF(OR(L446="",D446="",O446="납품완료",O446="취소"),"",IF(L446&lt;TODAY(),"지연",IF(L446-TODAY()&lt;=$L$1,"임박","")))</f>
        <v/>
      </c>
      <c r="Q446" s="14" t="n"/>
      <c r="R446" s="15" t="n"/>
      <c r="S446" s="18">
        <f>IF(F446="","",IF(COUNTIF(F$4:F446,F446)=1,MAX(S$3:S445)+1,""))</f>
        <v/>
      </c>
    </row>
    <row r="447">
      <c r="A447" s="12" t="n"/>
      <c r="B447" s="13" t="n"/>
      <c r="C447" s="14" t="n"/>
      <c r="D447" s="15" t="n"/>
      <c r="E447" s="15" t="n"/>
      <c r="F447" s="15" t="n"/>
      <c r="G447" s="15" t="n"/>
      <c r="H447" s="16" t="n"/>
      <c r="I447" s="14" t="n"/>
      <c r="J447" s="17" t="n"/>
      <c r="K447" s="17">
        <f>IF(OR(H447="",J447=""),"",H447*J447)</f>
        <v/>
      </c>
      <c r="L447" s="12" t="n"/>
      <c r="M447" s="15" t="n"/>
      <c r="N447" s="15" t="n"/>
      <c r="O447" s="14" t="n"/>
      <c r="P447" s="14">
        <f>IF(OR(L447="",D447="",O447="납품완료",O447="취소"),"",IF(L447&lt;TODAY(),"지연",IF(L447-TODAY()&lt;=$L$1,"임박","")))</f>
        <v/>
      </c>
      <c r="Q447" s="14" t="n"/>
      <c r="R447" s="15" t="n"/>
      <c r="S447" s="18">
        <f>IF(F447="","",IF(COUNTIF(F$4:F447,F447)=1,MAX(S$3:S446)+1,""))</f>
        <v/>
      </c>
    </row>
    <row r="448">
      <c r="A448" s="12" t="n"/>
      <c r="B448" s="13" t="n"/>
      <c r="C448" s="14" t="n"/>
      <c r="D448" s="15" t="n"/>
      <c r="E448" s="15" t="n"/>
      <c r="F448" s="15" t="n"/>
      <c r="G448" s="15" t="n"/>
      <c r="H448" s="16" t="n"/>
      <c r="I448" s="14" t="n"/>
      <c r="J448" s="17" t="n"/>
      <c r="K448" s="17">
        <f>IF(OR(H448="",J448=""),"",H448*J448)</f>
        <v/>
      </c>
      <c r="L448" s="12" t="n"/>
      <c r="M448" s="15" t="n"/>
      <c r="N448" s="15" t="n"/>
      <c r="O448" s="14" t="n"/>
      <c r="P448" s="14">
        <f>IF(OR(L448="",D448="",O448="납품완료",O448="취소"),"",IF(L448&lt;TODAY(),"지연",IF(L448-TODAY()&lt;=$L$1,"임박","")))</f>
        <v/>
      </c>
      <c r="Q448" s="14" t="n"/>
      <c r="R448" s="15" t="n"/>
      <c r="S448" s="18">
        <f>IF(F448="","",IF(COUNTIF(F$4:F448,F448)=1,MAX(S$3:S447)+1,""))</f>
        <v/>
      </c>
    </row>
    <row r="449">
      <c r="A449" s="12" t="n"/>
      <c r="B449" s="13" t="n"/>
      <c r="C449" s="14" t="n"/>
      <c r="D449" s="15" t="n"/>
      <c r="E449" s="15" t="n"/>
      <c r="F449" s="15" t="n"/>
      <c r="G449" s="15" t="n"/>
      <c r="H449" s="16" t="n"/>
      <c r="I449" s="14" t="n"/>
      <c r="J449" s="17" t="n"/>
      <c r="K449" s="17">
        <f>IF(OR(H449="",J449=""),"",H449*J449)</f>
        <v/>
      </c>
      <c r="L449" s="12" t="n"/>
      <c r="M449" s="15" t="n"/>
      <c r="N449" s="15" t="n"/>
      <c r="O449" s="14" t="n"/>
      <c r="P449" s="14">
        <f>IF(OR(L449="",D449="",O449="납품완료",O449="취소"),"",IF(L449&lt;TODAY(),"지연",IF(L449-TODAY()&lt;=$L$1,"임박","")))</f>
        <v/>
      </c>
      <c r="Q449" s="14" t="n"/>
      <c r="R449" s="15" t="n"/>
      <c r="S449" s="18">
        <f>IF(F449="","",IF(COUNTIF(F$4:F449,F449)=1,MAX(S$3:S448)+1,""))</f>
        <v/>
      </c>
    </row>
    <row r="450">
      <c r="A450" s="12" t="n"/>
      <c r="B450" s="13" t="n"/>
      <c r="C450" s="14" t="n"/>
      <c r="D450" s="15" t="n"/>
      <c r="E450" s="15" t="n"/>
      <c r="F450" s="15" t="n"/>
      <c r="G450" s="15" t="n"/>
      <c r="H450" s="16" t="n"/>
      <c r="I450" s="14" t="n"/>
      <c r="J450" s="17" t="n"/>
      <c r="K450" s="17">
        <f>IF(OR(H450="",J450=""),"",H450*J450)</f>
        <v/>
      </c>
      <c r="L450" s="12" t="n"/>
      <c r="M450" s="15" t="n"/>
      <c r="N450" s="15" t="n"/>
      <c r="O450" s="14" t="n"/>
      <c r="P450" s="14">
        <f>IF(OR(L450="",D450="",O450="납품완료",O450="취소"),"",IF(L450&lt;TODAY(),"지연",IF(L450-TODAY()&lt;=$L$1,"임박","")))</f>
        <v/>
      </c>
      <c r="Q450" s="14" t="n"/>
      <c r="R450" s="15" t="n"/>
      <c r="S450" s="18">
        <f>IF(F450="","",IF(COUNTIF(F$4:F450,F450)=1,MAX(S$3:S449)+1,""))</f>
        <v/>
      </c>
    </row>
    <row r="451">
      <c r="A451" s="12" t="n"/>
      <c r="B451" s="13" t="n"/>
      <c r="C451" s="14" t="n"/>
      <c r="D451" s="15" t="n"/>
      <c r="E451" s="15" t="n"/>
      <c r="F451" s="15" t="n"/>
      <c r="G451" s="15" t="n"/>
      <c r="H451" s="16" t="n"/>
      <c r="I451" s="14" t="n"/>
      <c r="J451" s="17" t="n"/>
      <c r="K451" s="17">
        <f>IF(OR(H451="",J451=""),"",H451*J451)</f>
        <v/>
      </c>
      <c r="L451" s="12" t="n"/>
      <c r="M451" s="15" t="n"/>
      <c r="N451" s="15" t="n"/>
      <c r="O451" s="14" t="n"/>
      <c r="P451" s="14">
        <f>IF(OR(L451="",D451="",O451="납품완료",O451="취소"),"",IF(L451&lt;TODAY(),"지연",IF(L451-TODAY()&lt;=$L$1,"임박","")))</f>
        <v/>
      </c>
      <c r="Q451" s="14" t="n"/>
      <c r="R451" s="15" t="n"/>
      <c r="S451" s="18">
        <f>IF(F451="","",IF(COUNTIF(F$4:F451,F451)=1,MAX(S$3:S450)+1,""))</f>
        <v/>
      </c>
    </row>
    <row r="452">
      <c r="A452" s="12" t="n"/>
      <c r="B452" s="13" t="n"/>
      <c r="C452" s="14" t="n"/>
      <c r="D452" s="15" t="n"/>
      <c r="E452" s="15" t="n"/>
      <c r="F452" s="15" t="n"/>
      <c r="G452" s="15" t="n"/>
      <c r="H452" s="16" t="n"/>
      <c r="I452" s="14" t="n"/>
      <c r="J452" s="17" t="n"/>
      <c r="K452" s="17">
        <f>IF(OR(H452="",J452=""),"",H452*J452)</f>
        <v/>
      </c>
      <c r="L452" s="12" t="n"/>
      <c r="M452" s="15" t="n"/>
      <c r="N452" s="15" t="n"/>
      <c r="O452" s="14" t="n"/>
      <c r="P452" s="14">
        <f>IF(OR(L452="",D452="",O452="납품완료",O452="취소"),"",IF(L452&lt;TODAY(),"지연",IF(L452-TODAY()&lt;=$L$1,"임박","")))</f>
        <v/>
      </c>
      <c r="Q452" s="14" t="n"/>
      <c r="R452" s="15" t="n"/>
      <c r="S452" s="18">
        <f>IF(F452="","",IF(COUNTIF(F$4:F452,F452)=1,MAX(S$3:S451)+1,""))</f>
        <v/>
      </c>
    </row>
    <row r="453">
      <c r="A453" s="12" t="n"/>
      <c r="B453" s="13" t="n"/>
      <c r="C453" s="14" t="n"/>
      <c r="D453" s="15" t="n"/>
      <c r="E453" s="15" t="n"/>
      <c r="F453" s="15" t="n"/>
      <c r="G453" s="15" t="n"/>
      <c r="H453" s="16" t="n"/>
      <c r="I453" s="14" t="n"/>
      <c r="J453" s="17" t="n"/>
      <c r="K453" s="17">
        <f>IF(OR(H453="",J453=""),"",H453*J453)</f>
        <v/>
      </c>
      <c r="L453" s="12" t="n"/>
      <c r="M453" s="15" t="n"/>
      <c r="N453" s="15" t="n"/>
      <c r="O453" s="14" t="n"/>
      <c r="P453" s="14">
        <f>IF(OR(L453="",D453="",O453="납품완료",O453="취소"),"",IF(L453&lt;TODAY(),"지연",IF(L453-TODAY()&lt;=$L$1,"임박","")))</f>
        <v/>
      </c>
      <c r="Q453" s="14" t="n"/>
      <c r="R453" s="15" t="n"/>
      <c r="S453" s="18">
        <f>IF(F453="","",IF(COUNTIF(F$4:F453,F453)=1,MAX(S$3:S452)+1,""))</f>
        <v/>
      </c>
    </row>
    <row r="454">
      <c r="A454" s="12" t="n"/>
      <c r="B454" s="13" t="n"/>
      <c r="C454" s="14" t="n"/>
      <c r="D454" s="15" t="n"/>
      <c r="E454" s="15" t="n"/>
      <c r="F454" s="15" t="n"/>
      <c r="G454" s="15" t="n"/>
      <c r="H454" s="16" t="n"/>
      <c r="I454" s="14" t="n"/>
      <c r="J454" s="17" t="n"/>
      <c r="K454" s="17">
        <f>IF(OR(H454="",J454=""),"",H454*J454)</f>
        <v/>
      </c>
      <c r="L454" s="12" t="n"/>
      <c r="M454" s="15" t="n"/>
      <c r="N454" s="15" t="n"/>
      <c r="O454" s="14" t="n"/>
      <c r="P454" s="14">
        <f>IF(OR(L454="",D454="",O454="납품완료",O454="취소"),"",IF(L454&lt;TODAY(),"지연",IF(L454-TODAY()&lt;=$L$1,"임박","")))</f>
        <v/>
      </c>
      <c r="Q454" s="14" t="n"/>
      <c r="R454" s="15" t="n"/>
      <c r="S454" s="18">
        <f>IF(F454="","",IF(COUNTIF(F$4:F454,F454)=1,MAX(S$3:S453)+1,""))</f>
        <v/>
      </c>
    </row>
    <row r="455">
      <c r="A455" s="12" t="n"/>
      <c r="B455" s="13" t="n"/>
      <c r="C455" s="14" t="n"/>
      <c r="D455" s="15" t="n"/>
      <c r="E455" s="15" t="n"/>
      <c r="F455" s="15" t="n"/>
      <c r="G455" s="15" t="n"/>
      <c r="H455" s="16" t="n"/>
      <c r="I455" s="14" t="n"/>
      <c r="J455" s="17" t="n"/>
      <c r="K455" s="17">
        <f>IF(OR(H455="",J455=""),"",H455*J455)</f>
        <v/>
      </c>
      <c r="L455" s="12" t="n"/>
      <c r="M455" s="15" t="n"/>
      <c r="N455" s="15" t="n"/>
      <c r="O455" s="14" t="n"/>
      <c r="P455" s="14">
        <f>IF(OR(L455="",D455="",O455="납품완료",O455="취소"),"",IF(L455&lt;TODAY(),"지연",IF(L455-TODAY()&lt;=$L$1,"임박","")))</f>
        <v/>
      </c>
      <c r="Q455" s="14" t="n"/>
      <c r="R455" s="15" t="n"/>
      <c r="S455" s="18">
        <f>IF(F455="","",IF(COUNTIF(F$4:F455,F455)=1,MAX(S$3:S454)+1,""))</f>
        <v/>
      </c>
    </row>
    <row r="456">
      <c r="A456" s="12" t="n"/>
      <c r="B456" s="13" t="n"/>
      <c r="C456" s="14" t="n"/>
      <c r="D456" s="15" t="n"/>
      <c r="E456" s="15" t="n"/>
      <c r="F456" s="15" t="n"/>
      <c r="G456" s="15" t="n"/>
      <c r="H456" s="16" t="n"/>
      <c r="I456" s="14" t="n"/>
      <c r="J456" s="17" t="n"/>
      <c r="K456" s="17">
        <f>IF(OR(H456="",J456=""),"",H456*J456)</f>
        <v/>
      </c>
      <c r="L456" s="12" t="n"/>
      <c r="M456" s="15" t="n"/>
      <c r="N456" s="15" t="n"/>
      <c r="O456" s="14" t="n"/>
      <c r="P456" s="14">
        <f>IF(OR(L456="",D456="",O456="납품완료",O456="취소"),"",IF(L456&lt;TODAY(),"지연",IF(L456-TODAY()&lt;=$L$1,"임박","")))</f>
        <v/>
      </c>
      <c r="Q456" s="14" t="n"/>
      <c r="R456" s="15" t="n"/>
      <c r="S456" s="18">
        <f>IF(F456="","",IF(COUNTIF(F$4:F456,F456)=1,MAX(S$3:S455)+1,""))</f>
        <v/>
      </c>
    </row>
    <row r="457">
      <c r="A457" s="12" t="n"/>
      <c r="B457" s="13" t="n"/>
      <c r="C457" s="14" t="n"/>
      <c r="D457" s="15" t="n"/>
      <c r="E457" s="15" t="n"/>
      <c r="F457" s="15" t="n"/>
      <c r="G457" s="15" t="n"/>
      <c r="H457" s="16" t="n"/>
      <c r="I457" s="14" t="n"/>
      <c r="J457" s="17" t="n"/>
      <c r="K457" s="17">
        <f>IF(OR(H457="",J457=""),"",H457*J457)</f>
        <v/>
      </c>
      <c r="L457" s="12" t="n"/>
      <c r="M457" s="15" t="n"/>
      <c r="N457" s="15" t="n"/>
      <c r="O457" s="14" t="n"/>
      <c r="P457" s="14">
        <f>IF(OR(L457="",D457="",O457="납품완료",O457="취소"),"",IF(L457&lt;TODAY(),"지연",IF(L457-TODAY()&lt;=$L$1,"임박","")))</f>
        <v/>
      </c>
      <c r="Q457" s="14" t="n"/>
      <c r="R457" s="15" t="n"/>
      <c r="S457" s="18">
        <f>IF(F457="","",IF(COUNTIF(F$4:F457,F457)=1,MAX(S$3:S456)+1,""))</f>
        <v/>
      </c>
    </row>
    <row r="458">
      <c r="A458" s="12" t="n"/>
      <c r="B458" s="13" t="n"/>
      <c r="C458" s="14" t="n"/>
      <c r="D458" s="15" t="n"/>
      <c r="E458" s="15" t="n"/>
      <c r="F458" s="15" t="n"/>
      <c r="G458" s="15" t="n"/>
      <c r="H458" s="16" t="n"/>
      <c r="I458" s="14" t="n"/>
      <c r="J458" s="17" t="n"/>
      <c r="K458" s="17">
        <f>IF(OR(H458="",J458=""),"",H458*J458)</f>
        <v/>
      </c>
      <c r="L458" s="12" t="n"/>
      <c r="M458" s="15" t="n"/>
      <c r="N458" s="15" t="n"/>
      <c r="O458" s="14" t="n"/>
      <c r="P458" s="14">
        <f>IF(OR(L458="",D458="",O458="납품완료",O458="취소"),"",IF(L458&lt;TODAY(),"지연",IF(L458-TODAY()&lt;=$L$1,"임박","")))</f>
        <v/>
      </c>
      <c r="Q458" s="14" t="n"/>
      <c r="R458" s="15" t="n"/>
      <c r="S458" s="18">
        <f>IF(F458="","",IF(COUNTIF(F$4:F458,F458)=1,MAX(S$3:S457)+1,""))</f>
        <v/>
      </c>
    </row>
    <row r="459">
      <c r="A459" s="12" t="n"/>
      <c r="B459" s="13" t="n"/>
      <c r="C459" s="14" t="n"/>
      <c r="D459" s="15" t="n"/>
      <c r="E459" s="15" t="n"/>
      <c r="F459" s="15" t="n"/>
      <c r="G459" s="15" t="n"/>
      <c r="H459" s="16" t="n"/>
      <c r="I459" s="14" t="n"/>
      <c r="J459" s="17" t="n"/>
      <c r="K459" s="17">
        <f>IF(OR(H459="",J459=""),"",H459*J459)</f>
        <v/>
      </c>
      <c r="L459" s="12" t="n"/>
      <c r="M459" s="15" t="n"/>
      <c r="N459" s="15" t="n"/>
      <c r="O459" s="14" t="n"/>
      <c r="P459" s="14">
        <f>IF(OR(L459="",D459="",O459="납품완료",O459="취소"),"",IF(L459&lt;TODAY(),"지연",IF(L459-TODAY()&lt;=$L$1,"임박","")))</f>
        <v/>
      </c>
      <c r="Q459" s="14" t="n"/>
      <c r="R459" s="15" t="n"/>
      <c r="S459" s="18">
        <f>IF(F459="","",IF(COUNTIF(F$4:F459,F459)=1,MAX(S$3:S458)+1,""))</f>
        <v/>
      </c>
    </row>
    <row r="460">
      <c r="A460" s="12" t="n"/>
      <c r="B460" s="13" t="n"/>
      <c r="C460" s="14" t="n"/>
      <c r="D460" s="15" t="n"/>
      <c r="E460" s="15" t="n"/>
      <c r="F460" s="15" t="n"/>
      <c r="G460" s="15" t="n"/>
      <c r="H460" s="16" t="n"/>
      <c r="I460" s="14" t="n"/>
      <c r="J460" s="17" t="n"/>
      <c r="K460" s="17">
        <f>IF(OR(H460="",J460=""),"",H460*J460)</f>
        <v/>
      </c>
      <c r="L460" s="12" t="n"/>
      <c r="M460" s="15" t="n"/>
      <c r="N460" s="15" t="n"/>
      <c r="O460" s="14" t="n"/>
      <c r="P460" s="14">
        <f>IF(OR(L460="",D460="",O460="납품완료",O460="취소"),"",IF(L460&lt;TODAY(),"지연",IF(L460-TODAY()&lt;=$L$1,"임박","")))</f>
        <v/>
      </c>
      <c r="Q460" s="14" t="n"/>
      <c r="R460" s="15" t="n"/>
      <c r="S460" s="18">
        <f>IF(F460="","",IF(COUNTIF(F$4:F460,F460)=1,MAX(S$3:S459)+1,""))</f>
        <v/>
      </c>
    </row>
    <row r="461">
      <c r="A461" s="12" t="n"/>
      <c r="B461" s="13" t="n"/>
      <c r="C461" s="14" t="n"/>
      <c r="D461" s="15" t="n"/>
      <c r="E461" s="15" t="n"/>
      <c r="F461" s="15" t="n"/>
      <c r="G461" s="15" t="n"/>
      <c r="H461" s="16" t="n"/>
      <c r="I461" s="14" t="n"/>
      <c r="J461" s="17" t="n"/>
      <c r="K461" s="17">
        <f>IF(OR(H461="",J461=""),"",H461*J461)</f>
        <v/>
      </c>
      <c r="L461" s="12" t="n"/>
      <c r="M461" s="15" t="n"/>
      <c r="N461" s="15" t="n"/>
      <c r="O461" s="14" t="n"/>
      <c r="P461" s="14">
        <f>IF(OR(L461="",D461="",O461="납품완료",O461="취소"),"",IF(L461&lt;TODAY(),"지연",IF(L461-TODAY()&lt;=$L$1,"임박","")))</f>
        <v/>
      </c>
      <c r="Q461" s="14" t="n"/>
      <c r="R461" s="15" t="n"/>
      <c r="S461" s="18">
        <f>IF(F461="","",IF(COUNTIF(F$4:F461,F461)=1,MAX(S$3:S460)+1,""))</f>
        <v/>
      </c>
    </row>
    <row r="462">
      <c r="A462" s="12" t="n"/>
      <c r="B462" s="13" t="n"/>
      <c r="C462" s="14" t="n"/>
      <c r="D462" s="15" t="n"/>
      <c r="E462" s="15" t="n"/>
      <c r="F462" s="15" t="n"/>
      <c r="G462" s="15" t="n"/>
      <c r="H462" s="16" t="n"/>
      <c r="I462" s="14" t="n"/>
      <c r="J462" s="17" t="n"/>
      <c r="K462" s="17">
        <f>IF(OR(H462="",J462=""),"",H462*J462)</f>
        <v/>
      </c>
      <c r="L462" s="12" t="n"/>
      <c r="M462" s="15" t="n"/>
      <c r="N462" s="15" t="n"/>
      <c r="O462" s="14" t="n"/>
      <c r="P462" s="14">
        <f>IF(OR(L462="",D462="",O462="납품완료",O462="취소"),"",IF(L462&lt;TODAY(),"지연",IF(L462-TODAY()&lt;=$L$1,"임박","")))</f>
        <v/>
      </c>
      <c r="Q462" s="14" t="n"/>
      <c r="R462" s="15" t="n"/>
      <c r="S462" s="18">
        <f>IF(F462="","",IF(COUNTIF(F$4:F462,F462)=1,MAX(S$3:S461)+1,""))</f>
        <v/>
      </c>
    </row>
    <row r="463">
      <c r="A463" s="12" t="n"/>
      <c r="B463" s="13" t="n"/>
      <c r="C463" s="14" t="n"/>
      <c r="D463" s="15" t="n"/>
      <c r="E463" s="15" t="n"/>
      <c r="F463" s="15" t="n"/>
      <c r="G463" s="15" t="n"/>
      <c r="H463" s="16" t="n"/>
      <c r="I463" s="14" t="n"/>
      <c r="J463" s="17" t="n"/>
      <c r="K463" s="17">
        <f>IF(OR(H463="",J463=""),"",H463*J463)</f>
        <v/>
      </c>
      <c r="L463" s="12" t="n"/>
      <c r="M463" s="15" t="n"/>
      <c r="N463" s="15" t="n"/>
      <c r="O463" s="14" t="n"/>
      <c r="P463" s="14">
        <f>IF(OR(L463="",D463="",O463="납품완료",O463="취소"),"",IF(L463&lt;TODAY(),"지연",IF(L463-TODAY()&lt;=$L$1,"임박","")))</f>
        <v/>
      </c>
      <c r="Q463" s="14" t="n"/>
      <c r="R463" s="15" t="n"/>
      <c r="S463" s="18">
        <f>IF(F463="","",IF(COUNTIF(F$4:F463,F463)=1,MAX(S$3:S462)+1,""))</f>
        <v/>
      </c>
    </row>
    <row r="464">
      <c r="A464" s="12" t="n"/>
      <c r="B464" s="13" t="n"/>
      <c r="C464" s="14" t="n"/>
      <c r="D464" s="15" t="n"/>
      <c r="E464" s="15" t="n"/>
      <c r="F464" s="15" t="n"/>
      <c r="G464" s="15" t="n"/>
      <c r="H464" s="16" t="n"/>
      <c r="I464" s="14" t="n"/>
      <c r="J464" s="17" t="n"/>
      <c r="K464" s="17">
        <f>IF(OR(H464="",J464=""),"",H464*J464)</f>
        <v/>
      </c>
      <c r="L464" s="12" t="n"/>
      <c r="M464" s="15" t="n"/>
      <c r="N464" s="15" t="n"/>
      <c r="O464" s="14" t="n"/>
      <c r="P464" s="14">
        <f>IF(OR(L464="",D464="",O464="납품완료",O464="취소"),"",IF(L464&lt;TODAY(),"지연",IF(L464-TODAY()&lt;=$L$1,"임박","")))</f>
        <v/>
      </c>
      <c r="Q464" s="14" t="n"/>
      <c r="R464" s="15" t="n"/>
      <c r="S464" s="18">
        <f>IF(F464="","",IF(COUNTIF(F$4:F464,F464)=1,MAX(S$3:S463)+1,""))</f>
        <v/>
      </c>
    </row>
    <row r="465">
      <c r="A465" s="12" t="n"/>
      <c r="B465" s="13" t="n"/>
      <c r="C465" s="14" t="n"/>
      <c r="D465" s="15" t="n"/>
      <c r="E465" s="15" t="n"/>
      <c r="F465" s="15" t="n"/>
      <c r="G465" s="15" t="n"/>
      <c r="H465" s="16" t="n"/>
      <c r="I465" s="14" t="n"/>
      <c r="J465" s="17" t="n"/>
      <c r="K465" s="17">
        <f>IF(OR(H465="",J465=""),"",H465*J465)</f>
        <v/>
      </c>
      <c r="L465" s="12" t="n"/>
      <c r="M465" s="15" t="n"/>
      <c r="N465" s="15" t="n"/>
      <c r="O465" s="14" t="n"/>
      <c r="P465" s="14">
        <f>IF(OR(L465="",D465="",O465="납품완료",O465="취소"),"",IF(L465&lt;TODAY(),"지연",IF(L465-TODAY()&lt;=$L$1,"임박","")))</f>
        <v/>
      </c>
      <c r="Q465" s="14" t="n"/>
      <c r="R465" s="15" t="n"/>
      <c r="S465" s="18">
        <f>IF(F465="","",IF(COUNTIF(F$4:F465,F465)=1,MAX(S$3:S464)+1,""))</f>
        <v/>
      </c>
    </row>
    <row r="466">
      <c r="A466" s="12" t="n"/>
      <c r="B466" s="13" t="n"/>
      <c r="C466" s="14" t="n"/>
      <c r="D466" s="15" t="n"/>
      <c r="E466" s="15" t="n"/>
      <c r="F466" s="15" t="n"/>
      <c r="G466" s="15" t="n"/>
      <c r="H466" s="16" t="n"/>
      <c r="I466" s="14" t="n"/>
      <c r="J466" s="17" t="n"/>
      <c r="K466" s="17">
        <f>IF(OR(H466="",J466=""),"",H466*J466)</f>
        <v/>
      </c>
      <c r="L466" s="12" t="n"/>
      <c r="M466" s="15" t="n"/>
      <c r="N466" s="15" t="n"/>
      <c r="O466" s="14" t="n"/>
      <c r="P466" s="14">
        <f>IF(OR(L466="",D466="",O466="납품완료",O466="취소"),"",IF(L466&lt;TODAY(),"지연",IF(L466-TODAY()&lt;=$L$1,"임박","")))</f>
        <v/>
      </c>
      <c r="Q466" s="14" t="n"/>
      <c r="R466" s="15" t="n"/>
      <c r="S466" s="18">
        <f>IF(F466="","",IF(COUNTIF(F$4:F466,F466)=1,MAX(S$3:S465)+1,""))</f>
        <v/>
      </c>
    </row>
    <row r="467">
      <c r="A467" s="12" t="n"/>
      <c r="B467" s="13" t="n"/>
      <c r="C467" s="14" t="n"/>
      <c r="D467" s="15" t="n"/>
      <c r="E467" s="15" t="n"/>
      <c r="F467" s="15" t="n"/>
      <c r="G467" s="15" t="n"/>
      <c r="H467" s="16" t="n"/>
      <c r="I467" s="14" t="n"/>
      <c r="J467" s="17" t="n"/>
      <c r="K467" s="17">
        <f>IF(OR(H467="",J467=""),"",H467*J467)</f>
        <v/>
      </c>
      <c r="L467" s="12" t="n"/>
      <c r="M467" s="15" t="n"/>
      <c r="N467" s="15" t="n"/>
      <c r="O467" s="14" t="n"/>
      <c r="P467" s="14">
        <f>IF(OR(L467="",D467="",O467="납품완료",O467="취소"),"",IF(L467&lt;TODAY(),"지연",IF(L467-TODAY()&lt;=$L$1,"임박","")))</f>
        <v/>
      </c>
      <c r="Q467" s="14" t="n"/>
      <c r="R467" s="15" t="n"/>
      <c r="S467" s="18">
        <f>IF(F467="","",IF(COUNTIF(F$4:F467,F467)=1,MAX(S$3:S466)+1,""))</f>
        <v/>
      </c>
    </row>
    <row r="468">
      <c r="A468" s="12" t="n"/>
      <c r="B468" s="13" t="n"/>
      <c r="C468" s="14" t="n"/>
      <c r="D468" s="15" t="n"/>
      <c r="E468" s="15" t="n"/>
      <c r="F468" s="15" t="n"/>
      <c r="G468" s="15" t="n"/>
      <c r="H468" s="16" t="n"/>
      <c r="I468" s="14" t="n"/>
      <c r="J468" s="17" t="n"/>
      <c r="K468" s="17">
        <f>IF(OR(H468="",J468=""),"",H468*J468)</f>
        <v/>
      </c>
      <c r="L468" s="12" t="n"/>
      <c r="M468" s="15" t="n"/>
      <c r="N468" s="15" t="n"/>
      <c r="O468" s="14" t="n"/>
      <c r="P468" s="14">
        <f>IF(OR(L468="",D468="",O468="납품완료",O468="취소"),"",IF(L468&lt;TODAY(),"지연",IF(L468-TODAY()&lt;=$L$1,"임박","")))</f>
        <v/>
      </c>
      <c r="Q468" s="14" t="n"/>
      <c r="R468" s="15" t="n"/>
      <c r="S468" s="18">
        <f>IF(F468="","",IF(COUNTIF(F$4:F468,F468)=1,MAX(S$3:S467)+1,""))</f>
        <v/>
      </c>
    </row>
    <row r="469">
      <c r="A469" s="12" t="n"/>
      <c r="B469" s="13" t="n"/>
      <c r="C469" s="14" t="n"/>
      <c r="D469" s="15" t="n"/>
      <c r="E469" s="15" t="n"/>
      <c r="F469" s="15" t="n"/>
      <c r="G469" s="15" t="n"/>
      <c r="H469" s="16" t="n"/>
      <c r="I469" s="14" t="n"/>
      <c r="J469" s="17" t="n"/>
      <c r="K469" s="17">
        <f>IF(OR(H469="",J469=""),"",H469*J469)</f>
        <v/>
      </c>
      <c r="L469" s="12" t="n"/>
      <c r="M469" s="15" t="n"/>
      <c r="N469" s="15" t="n"/>
      <c r="O469" s="14" t="n"/>
      <c r="P469" s="14">
        <f>IF(OR(L469="",D469="",O469="납품완료",O469="취소"),"",IF(L469&lt;TODAY(),"지연",IF(L469-TODAY()&lt;=$L$1,"임박","")))</f>
        <v/>
      </c>
      <c r="Q469" s="14" t="n"/>
      <c r="R469" s="15" t="n"/>
      <c r="S469" s="18">
        <f>IF(F469="","",IF(COUNTIF(F$4:F469,F469)=1,MAX(S$3:S468)+1,""))</f>
        <v/>
      </c>
    </row>
    <row r="470">
      <c r="A470" s="12" t="n"/>
      <c r="B470" s="13" t="n"/>
      <c r="C470" s="14" t="n"/>
      <c r="D470" s="15" t="n"/>
      <c r="E470" s="15" t="n"/>
      <c r="F470" s="15" t="n"/>
      <c r="G470" s="15" t="n"/>
      <c r="H470" s="16" t="n"/>
      <c r="I470" s="14" t="n"/>
      <c r="J470" s="17" t="n"/>
      <c r="K470" s="17">
        <f>IF(OR(H470="",J470=""),"",H470*J470)</f>
        <v/>
      </c>
      <c r="L470" s="12" t="n"/>
      <c r="M470" s="15" t="n"/>
      <c r="N470" s="15" t="n"/>
      <c r="O470" s="14" t="n"/>
      <c r="P470" s="14">
        <f>IF(OR(L470="",D470="",O470="납품완료",O470="취소"),"",IF(L470&lt;TODAY(),"지연",IF(L470-TODAY()&lt;=$L$1,"임박","")))</f>
        <v/>
      </c>
      <c r="Q470" s="14" t="n"/>
      <c r="R470" s="15" t="n"/>
      <c r="S470" s="18">
        <f>IF(F470="","",IF(COUNTIF(F$4:F470,F470)=1,MAX(S$3:S469)+1,""))</f>
        <v/>
      </c>
    </row>
    <row r="471">
      <c r="A471" s="12" t="n"/>
      <c r="B471" s="13" t="n"/>
      <c r="C471" s="14" t="n"/>
      <c r="D471" s="15" t="n"/>
      <c r="E471" s="15" t="n"/>
      <c r="F471" s="15" t="n"/>
      <c r="G471" s="15" t="n"/>
      <c r="H471" s="16" t="n"/>
      <c r="I471" s="14" t="n"/>
      <c r="J471" s="17" t="n"/>
      <c r="K471" s="17">
        <f>IF(OR(H471="",J471=""),"",H471*J471)</f>
        <v/>
      </c>
      <c r="L471" s="12" t="n"/>
      <c r="M471" s="15" t="n"/>
      <c r="N471" s="15" t="n"/>
      <c r="O471" s="14" t="n"/>
      <c r="P471" s="14">
        <f>IF(OR(L471="",D471="",O471="납품완료",O471="취소"),"",IF(L471&lt;TODAY(),"지연",IF(L471-TODAY()&lt;=$L$1,"임박","")))</f>
        <v/>
      </c>
      <c r="Q471" s="14" t="n"/>
      <c r="R471" s="15" t="n"/>
      <c r="S471" s="18">
        <f>IF(F471="","",IF(COUNTIF(F$4:F471,F471)=1,MAX(S$3:S470)+1,""))</f>
        <v/>
      </c>
    </row>
    <row r="472">
      <c r="A472" s="12" t="n"/>
      <c r="B472" s="13" t="n"/>
      <c r="C472" s="14" t="n"/>
      <c r="D472" s="15" t="n"/>
      <c r="E472" s="15" t="n"/>
      <c r="F472" s="15" t="n"/>
      <c r="G472" s="15" t="n"/>
      <c r="H472" s="16" t="n"/>
      <c r="I472" s="14" t="n"/>
      <c r="J472" s="17" t="n"/>
      <c r="K472" s="17">
        <f>IF(OR(H472="",J472=""),"",H472*J472)</f>
        <v/>
      </c>
      <c r="L472" s="12" t="n"/>
      <c r="M472" s="15" t="n"/>
      <c r="N472" s="15" t="n"/>
      <c r="O472" s="14" t="n"/>
      <c r="P472" s="14">
        <f>IF(OR(L472="",D472="",O472="납품완료",O472="취소"),"",IF(L472&lt;TODAY(),"지연",IF(L472-TODAY()&lt;=$L$1,"임박","")))</f>
        <v/>
      </c>
      <c r="Q472" s="14" t="n"/>
      <c r="R472" s="15" t="n"/>
      <c r="S472" s="18">
        <f>IF(F472="","",IF(COUNTIF(F$4:F472,F472)=1,MAX(S$3:S471)+1,""))</f>
        <v/>
      </c>
    </row>
    <row r="473">
      <c r="A473" s="12" t="n"/>
      <c r="B473" s="13" t="n"/>
      <c r="C473" s="14" t="n"/>
      <c r="D473" s="15" t="n"/>
      <c r="E473" s="15" t="n"/>
      <c r="F473" s="15" t="n"/>
      <c r="G473" s="15" t="n"/>
      <c r="H473" s="16" t="n"/>
      <c r="I473" s="14" t="n"/>
      <c r="J473" s="17" t="n"/>
      <c r="K473" s="17">
        <f>IF(OR(H473="",J473=""),"",H473*J473)</f>
        <v/>
      </c>
      <c r="L473" s="12" t="n"/>
      <c r="M473" s="15" t="n"/>
      <c r="N473" s="15" t="n"/>
      <c r="O473" s="14" t="n"/>
      <c r="P473" s="14">
        <f>IF(OR(L473="",D473="",O473="납품완료",O473="취소"),"",IF(L473&lt;TODAY(),"지연",IF(L473-TODAY()&lt;=$L$1,"임박","")))</f>
        <v/>
      </c>
      <c r="Q473" s="14" t="n"/>
      <c r="R473" s="15" t="n"/>
      <c r="S473" s="18">
        <f>IF(F473="","",IF(COUNTIF(F$4:F473,F473)=1,MAX(S$3:S472)+1,""))</f>
        <v/>
      </c>
    </row>
    <row r="474">
      <c r="A474" s="12" t="n"/>
      <c r="B474" s="13" t="n"/>
      <c r="C474" s="14" t="n"/>
      <c r="D474" s="15" t="n"/>
      <c r="E474" s="15" t="n"/>
      <c r="F474" s="15" t="n"/>
      <c r="G474" s="15" t="n"/>
      <c r="H474" s="16" t="n"/>
      <c r="I474" s="14" t="n"/>
      <c r="J474" s="17" t="n"/>
      <c r="K474" s="17">
        <f>IF(OR(H474="",J474=""),"",H474*J474)</f>
        <v/>
      </c>
      <c r="L474" s="12" t="n"/>
      <c r="M474" s="15" t="n"/>
      <c r="N474" s="15" t="n"/>
      <c r="O474" s="14" t="n"/>
      <c r="P474" s="14">
        <f>IF(OR(L474="",D474="",O474="납품완료",O474="취소"),"",IF(L474&lt;TODAY(),"지연",IF(L474-TODAY()&lt;=$L$1,"임박","")))</f>
        <v/>
      </c>
      <c r="Q474" s="14" t="n"/>
      <c r="R474" s="15" t="n"/>
      <c r="S474" s="18">
        <f>IF(F474="","",IF(COUNTIF(F$4:F474,F474)=1,MAX(S$3:S473)+1,""))</f>
        <v/>
      </c>
    </row>
    <row r="475">
      <c r="A475" s="12" t="n"/>
      <c r="B475" s="13" t="n"/>
      <c r="C475" s="14" t="n"/>
      <c r="D475" s="15" t="n"/>
      <c r="E475" s="15" t="n"/>
      <c r="F475" s="15" t="n"/>
      <c r="G475" s="15" t="n"/>
      <c r="H475" s="16" t="n"/>
      <c r="I475" s="14" t="n"/>
      <c r="J475" s="17" t="n"/>
      <c r="K475" s="17">
        <f>IF(OR(H475="",J475=""),"",H475*J475)</f>
        <v/>
      </c>
      <c r="L475" s="12" t="n"/>
      <c r="M475" s="15" t="n"/>
      <c r="N475" s="15" t="n"/>
      <c r="O475" s="14" t="n"/>
      <c r="P475" s="14">
        <f>IF(OR(L475="",D475="",O475="납품완료",O475="취소"),"",IF(L475&lt;TODAY(),"지연",IF(L475-TODAY()&lt;=$L$1,"임박","")))</f>
        <v/>
      </c>
      <c r="Q475" s="14" t="n"/>
      <c r="R475" s="15" t="n"/>
      <c r="S475" s="18">
        <f>IF(F475="","",IF(COUNTIF(F$4:F475,F475)=1,MAX(S$3:S474)+1,""))</f>
        <v/>
      </c>
    </row>
    <row r="476">
      <c r="A476" s="12" t="n"/>
      <c r="B476" s="13" t="n"/>
      <c r="C476" s="14" t="n"/>
      <c r="D476" s="15" t="n"/>
      <c r="E476" s="15" t="n"/>
      <c r="F476" s="15" t="n"/>
      <c r="G476" s="15" t="n"/>
      <c r="H476" s="16" t="n"/>
      <c r="I476" s="14" t="n"/>
      <c r="J476" s="17" t="n"/>
      <c r="K476" s="17">
        <f>IF(OR(H476="",J476=""),"",H476*J476)</f>
        <v/>
      </c>
      <c r="L476" s="12" t="n"/>
      <c r="M476" s="15" t="n"/>
      <c r="N476" s="15" t="n"/>
      <c r="O476" s="14" t="n"/>
      <c r="P476" s="14">
        <f>IF(OR(L476="",D476="",O476="납품완료",O476="취소"),"",IF(L476&lt;TODAY(),"지연",IF(L476-TODAY()&lt;=$L$1,"임박","")))</f>
        <v/>
      </c>
      <c r="Q476" s="14" t="n"/>
      <c r="R476" s="15" t="n"/>
      <c r="S476" s="18">
        <f>IF(F476="","",IF(COUNTIF(F$4:F476,F476)=1,MAX(S$3:S475)+1,""))</f>
        <v/>
      </c>
    </row>
    <row r="477">
      <c r="A477" s="12" t="n"/>
      <c r="B477" s="13" t="n"/>
      <c r="C477" s="14" t="n"/>
      <c r="D477" s="15" t="n"/>
      <c r="E477" s="15" t="n"/>
      <c r="F477" s="15" t="n"/>
      <c r="G477" s="15" t="n"/>
      <c r="H477" s="16" t="n"/>
      <c r="I477" s="14" t="n"/>
      <c r="J477" s="17" t="n"/>
      <c r="K477" s="17">
        <f>IF(OR(H477="",J477=""),"",H477*J477)</f>
        <v/>
      </c>
      <c r="L477" s="12" t="n"/>
      <c r="M477" s="15" t="n"/>
      <c r="N477" s="15" t="n"/>
      <c r="O477" s="14" t="n"/>
      <c r="P477" s="14">
        <f>IF(OR(L477="",D477="",O477="납품완료",O477="취소"),"",IF(L477&lt;TODAY(),"지연",IF(L477-TODAY()&lt;=$L$1,"임박","")))</f>
        <v/>
      </c>
      <c r="Q477" s="14" t="n"/>
      <c r="R477" s="15" t="n"/>
      <c r="S477" s="18">
        <f>IF(F477="","",IF(COUNTIF(F$4:F477,F477)=1,MAX(S$3:S476)+1,""))</f>
        <v/>
      </c>
    </row>
    <row r="478">
      <c r="A478" s="12" t="n"/>
      <c r="B478" s="13" t="n"/>
      <c r="C478" s="14" t="n"/>
      <c r="D478" s="15" t="n"/>
      <c r="E478" s="15" t="n"/>
      <c r="F478" s="15" t="n"/>
      <c r="G478" s="15" t="n"/>
      <c r="H478" s="16" t="n"/>
      <c r="I478" s="14" t="n"/>
      <c r="J478" s="17" t="n"/>
      <c r="K478" s="17">
        <f>IF(OR(H478="",J478=""),"",H478*J478)</f>
        <v/>
      </c>
      <c r="L478" s="12" t="n"/>
      <c r="M478" s="15" t="n"/>
      <c r="N478" s="15" t="n"/>
      <c r="O478" s="14" t="n"/>
      <c r="P478" s="14">
        <f>IF(OR(L478="",D478="",O478="납품완료",O478="취소"),"",IF(L478&lt;TODAY(),"지연",IF(L478-TODAY()&lt;=$L$1,"임박","")))</f>
        <v/>
      </c>
      <c r="Q478" s="14" t="n"/>
      <c r="R478" s="15" t="n"/>
      <c r="S478" s="18">
        <f>IF(F478="","",IF(COUNTIF(F$4:F478,F478)=1,MAX(S$3:S477)+1,""))</f>
        <v/>
      </c>
    </row>
    <row r="479">
      <c r="A479" s="12" t="n"/>
      <c r="B479" s="13" t="n"/>
      <c r="C479" s="14" t="n"/>
      <c r="D479" s="15" t="n"/>
      <c r="E479" s="15" t="n"/>
      <c r="F479" s="15" t="n"/>
      <c r="G479" s="15" t="n"/>
      <c r="H479" s="16" t="n"/>
      <c r="I479" s="14" t="n"/>
      <c r="J479" s="17" t="n"/>
      <c r="K479" s="17">
        <f>IF(OR(H479="",J479=""),"",H479*J479)</f>
        <v/>
      </c>
      <c r="L479" s="12" t="n"/>
      <c r="M479" s="15" t="n"/>
      <c r="N479" s="15" t="n"/>
      <c r="O479" s="14" t="n"/>
      <c r="P479" s="14">
        <f>IF(OR(L479="",D479="",O479="납품완료",O479="취소"),"",IF(L479&lt;TODAY(),"지연",IF(L479-TODAY()&lt;=$L$1,"임박","")))</f>
        <v/>
      </c>
      <c r="Q479" s="14" t="n"/>
      <c r="R479" s="15" t="n"/>
      <c r="S479" s="18">
        <f>IF(F479="","",IF(COUNTIF(F$4:F479,F479)=1,MAX(S$3:S478)+1,""))</f>
        <v/>
      </c>
    </row>
    <row r="480">
      <c r="A480" s="12" t="n"/>
      <c r="B480" s="13" t="n"/>
      <c r="C480" s="14" t="n"/>
      <c r="D480" s="15" t="n"/>
      <c r="E480" s="15" t="n"/>
      <c r="F480" s="15" t="n"/>
      <c r="G480" s="15" t="n"/>
      <c r="H480" s="16" t="n"/>
      <c r="I480" s="14" t="n"/>
      <c r="J480" s="17" t="n"/>
      <c r="K480" s="17">
        <f>IF(OR(H480="",J480=""),"",H480*J480)</f>
        <v/>
      </c>
      <c r="L480" s="12" t="n"/>
      <c r="M480" s="15" t="n"/>
      <c r="N480" s="15" t="n"/>
      <c r="O480" s="14" t="n"/>
      <c r="P480" s="14">
        <f>IF(OR(L480="",D480="",O480="납품완료",O480="취소"),"",IF(L480&lt;TODAY(),"지연",IF(L480-TODAY()&lt;=$L$1,"임박","")))</f>
        <v/>
      </c>
      <c r="Q480" s="14" t="n"/>
      <c r="R480" s="15" t="n"/>
      <c r="S480" s="18">
        <f>IF(F480="","",IF(COUNTIF(F$4:F480,F480)=1,MAX(S$3:S479)+1,""))</f>
        <v/>
      </c>
    </row>
    <row r="481">
      <c r="A481" s="12" t="n"/>
      <c r="B481" s="13" t="n"/>
      <c r="C481" s="14" t="n"/>
      <c r="D481" s="15" t="n"/>
      <c r="E481" s="15" t="n"/>
      <c r="F481" s="15" t="n"/>
      <c r="G481" s="15" t="n"/>
      <c r="H481" s="16" t="n"/>
      <c r="I481" s="14" t="n"/>
      <c r="J481" s="17" t="n"/>
      <c r="K481" s="17">
        <f>IF(OR(H481="",J481=""),"",H481*J481)</f>
        <v/>
      </c>
      <c r="L481" s="12" t="n"/>
      <c r="M481" s="15" t="n"/>
      <c r="N481" s="15" t="n"/>
      <c r="O481" s="14" t="n"/>
      <c r="P481" s="14">
        <f>IF(OR(L481="",D481="",O481="납품완료",O481="취소"),"",IF(L481&lt;TODAY(),"지연",IF(L481-TODAY()&lt;=$L$1,"임박","")))</f>
        <v/>
      </c>
      <c r="Q481" s="14" t="n"/>
      <c r="R481" s="15" t="n"/>
      <c r="S481" s="18">
        <f>IF(F481="","",IF(COUNTIF(F$4:F481,F481)=1,MAX(S$3:S480)+1,""))</f>
        <v/>
      </c>
    </row>
    <row r="482">
      <c r="A482" s="12" t="n"/>
      <c r="B482" s="13" t="n"/>
      <c r="C482" s="14" t="n"/>
      <c r="D482" s="15" t="n"/>
      <c r="E482" s="15" t="n"/>
      <c r="F482" s="15" t="n"/>
      <c r="G482" s="15" t="n"/>
      <c r="H482" s="16" t="n"/>
      <c r="I482" s="14" t="n"/>
      <c r="J482" s="17" t="n"/>
      <c r="K482" s="17">
        <f>IF(OR(H482="",J482=""),"",H482*J482)</f>
        <v/>
      </c>
      <c r="L482" s="12" t="n"/>
      <c r="M482" s="15" t="n"/>
      <c r="N482" s="15" t="n"/>
      <c r="O482" s="14" t="n"/>
      <c r="P482" s="14">
        <f>IF(OR(L482="",D482="",O482="납품완료",O482="취소"),"",IF(L482&lt;TODAY(),"지연",IF(L482-TODAY()&lt;=$L$1,"임박","")))</f>
        <v/>
      </c>
      <c r="Q482" s="14" t="n"/>
      <c r="R482" s="15" t="n"/>
      <c r="S482" s="18">
        <f>IF(F482="","",IF(COUNTIF(F$4:F482,F482)=1,MAX(S$3:S481)+1,""))</f>
        <v/>
      </c>
    </row>
    <row r="483">
      <c r="A483" s="12" t="n"/>
      <c r="B483" s="13" t="n"/>
      <c r="C483" s="14" t="n"/>
      <c r="D483" s="15" t="n"/>
      <c r="E483" s="15" t="n"/>
      <c r="F483" s="15" t="n"/>
      <c r="G483" s="15" t="n"/>
      <c r="H483" s="16" t="n"/>
      <c r="I483" s="14" t="n"/>
      <c r="J483" s="17" t="n"/>
      <c r="K483" s="17">
        <f>IF(OR(H483="",J483=""),"",H483*J483)</f>
        <v/>
      </c>
      <c r="L483" s="12" t="n"/>
      <c r="M483" s="15" t="n"/>
      <c r="N483" s="15" t="n"/>
      <c r="O483" s="14" t="n"/>
      <c r="P483" s="14">
        <f>IF(OR(L483="",D483="",O483="납품완료",O483="취소"),"",IF(L483&lt;TODAY(),"지연",IF(L483-TODAY()&lt;=$L$1,"임박","")))</f>
        <v/>
      </c>
      <c r="Q483" s="14" t="n"/>
      <c r="R483" s="15" t="n"/>
      <c r="S483" s="18">
        <f>IF(F483="","",IF(COUNTIF(F$4:F483,F483)=1,MAX(S$3:S482)+1,""))</f>
        <v/>
      </c>
    </row>
    <row r="484">
      <c r="A484" s="12" t="n"/>
      <c r="B484" s="13" t="n"/>
      <c r="C484" s="14" t="n"/>
      <c r="D484" s="15" t="n"/>
      <c r="E484" s="15" t="n"/>
      <c r="F484" s="15" t="n"/>
      <c r="G484" s="15" t="n"/>
      <c r="H484" s="16" t="n"/>
      <c r="I484" s="14" t="n"/>
      <c r="J484" s="17" t="n"/>
      <c r="K484" s="17">
        <f>IF(OR(H484="",J484=""),"",H484*J484)</f>
        <v/>
      </c>
      <c r="L484" s="12" t="n"/>
      <c r="M484" s="15" t="n"/>
      <c r="N484" s="15" t="n"/>
      <c r="O484" s="14" t="n"/>
      <c r="P484" s="14">
        <f>IF(OR(L484="",D484="",O484="납품완료",O484="취소"),"",IF(L484&lt;TODAY(),"지연",IF(L484-TODAY()&lt;=$L$1,"임박","")))</f>
        <v/>
      </c>
      <c r="Q484" s="14" t="n"/>
      <c r="R484" s="15" t="n"/>
      <c r="S484" s="18">
        <f>IF(F484="","",IF(COUNTIF(F$4:F484,F484)=1,MAX(S$3:S483)+1,""))</f>
        <v/>
      </c>
    </row>
    <row r="485">
      <c r="A485" s="12" t="n"/>
      <c r="B485" s="13" t="n"/>
      <c r="C485" s="14" t="n"/>
      <c r="D485" s="15" t="n"/>
      <c r="E485" s="15" t="n"/>
      <c r="F485" s="15" t="n"/>
      <c r="G485" s="15" t="n"/>
      <c r="H485" s="16" t="n"/>
      <c r="I485" s="14" t="n"/>
      <c r="J485" s="17" t="n"/>
      <c r="K485" s="17">
        <f>IF(OR(H485="",J485=""),"",H485*J485)</f>
        <v/>
      </c>
      <c r="L485" s="12" t="n"/>
      <c r="M485" s="15" t="n"/>
      <c r="N485" s="15" t="n"/>
      <c r="O485" s="14" t="n"/>
      <c r="P485" s="14">
        <f>IF(OR(L485="",D485="",O485="납품완료",O485="취소"),"",IF(L485&lt;TODAY(),"지연",IF(L485-TODAY()&lt;=$L$1,"임박","")))</f>
        <v/>
      </c>
      <c r="Q485" s="14" t="n"/>
      <c r="R485" s="15" t="n"/>
      <c r="S485" s="18">
        <f>IF(F485="","",IF(COUNTIF(F$4:F485,F485)=1,MAX(S$3:S484)+1,""))</f>
        <v/>
      </c>
    </row>
    <row r="486">
      <c r="A486" s="12" t="n"/>
      <c r="B486" s="13" t="n"/>
      <c r="C486" s="14" t="n"/>
      <c r="D486" s="15" t="n"/>
      <c r="E486" s="15" t="n"/>
      <c r="F486" s="15" t="n"/>
      <c r="G486" s="15" t="n"/>
      <c r="H486" s="16" t="n"/>
      <c r="I486" s="14" t="n"/>
      <c r="J486" s="17" t="n"/>
      <c r="K486" s="17">
        <f>IF(OR(H486="",J486=""),"",H486*J486)</f>
        <v/>
      </c>
      <c r="L486" s="12" t="n"/>
      <c r="M486" s="15" t="n"/>
      <c r="N486" s="15" t="n"/>
      <c r="O486" s="14" t="n"/>
      <c r="P486" s="14">
        <f>IF(OR(L486="",D486="",O486="납품완료",O486="취소"),"",IF(L486&lt;TODAY(),"지연",IF(L486-TODAY()&lt;=$L$1,"임박","")))</f>
        <v/>
      </c>
      <c r="Q486" s="14" t="n"/>
      <c r="R486" s="15" t="n"/>
      <c r="S486" s="18">
        <f>IF(F486="","",IF(COUNTIF(F$4:F486,F486)=1,MAX(S$3:S485)+1,""))</f>
        <v/>
      </c>
    </row>
    <row r="487">
      <c r="A487" s="12" t="n"/>
      <c r="B487" s="13" t="n"/>
      <c r="C487" s="14" t="n"/>
      <c r="D487" s="15" t="n"/>
      <c r="E487" s="15" t="n"/>
      <c r="F487" s="15" t="n"/>
      <c r="G487" s="15" t="n"/>
      <c r="H487" s="16" t="n"/>
      <c r="I487" s="14" t="n"/>
      <c r="J487" s="17" t="n"/>
      <c r="K487" s="17">
        <f>IF(OR(H487="",J487=""),"",H487*J487)</f>
        <v/>
      </c>
      <c r="L487" s="12" t="n"/>
      <c r="M487" s="15" t="n"/>
      <c r="N487" s="15" t="n"/>
      <c r="O487" s="14" t="n"/>
      <c r="P487" s="14">
        <f>IF(OR(L487="",D487="",O487="납품완료",O487="취소"),"",IF(L487&lt;TODAY(),"지연",IF(L487-TODAY()&lt;=$L$1,"임박","")))</f>
        <v/>
      </c>
      <c r="Q487" s="14" t="n"/>
      <c r="R487" s="15" t="n"/>
      <c r="S487" s="18">
        <f>IF(F487="","",IF(COUNTIF(F$4:F487,F487)=1,MAX(S$3:S486)+1,""))</f>
        <v/>
      </c>
    </row>
    <row r="488">
      <c r="A488" s="12" t="n"/>
      <c r="B488" s="13" t="n"/>
      <c r="C488" s="14" t="n"/>
      <c r="D488" s="15" t="n"/>
      <c r="E488" s="15" t="n"/>
      <c r="F488" s="15" t="n"/>
      <c r="G488" s="15" t="n"/>
      <c r="H488" s="16" t="n"/>
      <c r="I488" s="14" t="n"/>
      <c r="J488" s="17" t="n"/>
      <c r="K488" s="17">
        <f>IF(OR(H488="",J488=""),"",H488*J488)</f>
        <v/>
      </c>
      <c r="L488" s="12" t="n"/>
      <c r="M488" s="15" t="n"/>
      <c r="N488" s="15" t="n"/>
      <c r="O488" s="14" t="n"/>
      <c r="P488" s="14">
        <f>IF(OR(L488="",D488="",O488="납품완료",O488="취소"),"",IF(L488&lt;TODAY(),"지연",IF(L488-TODAY()&lt;=$L$1,"임박","")))</f>
        <v/>
      </c>
      <c r="Q488" s="14" t="n"/>
      <c r="R488" s="15" t="n"/>
      <c r="S488" s="18">
        <f>IF(F488="","",IF(COUNTIF(F$4:F488,F488)=1,MAX(S$3:S487)+1,""))</f>
        <v/>
      </c>
    </row>
    <row r="489">
      <c r="A489" s="12" t="n"/>
      <c r="B489" s="13" t="n"/>
      <c r="C489" s="14" t="n"/>
      <c r="D489" s="15" t="n"/>
      <c r="E489" s="15" t="n"/>
      <c r="F489" s="15" t="n"/>
      <c r="G489" s="15" t="n"/>
      <c r="H489" s="16" t="n"/>
      <c r="I489" s="14" t="n"/>
      <c r="J489" s="17" t="n"/>
      <c r="K489" s="17">
        <f>IF(OR(H489="",J489=""),"",H489*J489)</f>
        <v/>
      </c>
      <c r="L489" s="12" t="n"/>
      <c r="M489" s="15" t="n"/>
      <c r="N489" s="15" t="n"/>
      <c r="O489" s="14" t="n"/>
      <c r="P489" s="14">
        <f>IF(OR(L489="",D489="",O489="납품완료",O489="취소"),"",IF(L489&lt;TODAY(),"지연",IF(L489-TODAY()&lt;=$L$1,"임박","")))</f>
        <v/>
      </c>
      <c r="Q489" s="14" t="n"/>
      <c r="R489" s="15" t="n"/>
      <c r="S489" s="18">
        <f>IF(F489="","",IF(COUNTIF(F$4:F489,F489)=1,MAX(S$3:S488)+1,""))</f>
        <v/>
      </c>
    </row>
    <row r="490">
      <c r="A490" s="12" t="n"/>
      <c r="B490" s="13" t="n"/>
      <c r="C490" s="14" t="n"/>
      <c r="D490" s="15" t="n"/>
      <c r="E490" s="15" t="n"/>
      <c r="F490" s="15" t="n"/>
      <c r="G490" s="15" t="n"/>
      <c r="H490" s="16" t="n"/>
      <c r="I490" s="14" t="n"/>
      <c r="J490" s="17" t="n"/>
      <c r="K490" s="17">
        <f>IF(OR(H490="",J490=""),"",H490*J490)</f>
        <v/>
      </c>
      <c r="L490" s="12" t="n"/>
      <c r="M490" s="15" t="n"/>
      <c r="N490" s="15" t="n"/>
      <c r="O490" s="14" t="n"/>
      <c r="P490" s="14">
        <f>IF(OR(L490="",D490="",O490="납품완료",O490="취소"),"",IF(L490&lt;TODAY(),"지연",IF(L490-TODAY()&lt;=$L$1,"임박","")))</f>
        <v/>
      </c>
      <c r="Q490" s="14" t="n"/>
      <c r="R490" s="15" t="n"/>
      <c r="S490" s="18">
        <f>IF(F490="","",IF(COUNTIF(F$4:F490,F490)=1,MAX(S$3:S489)+1,""))</f>
        <v/>
      </c>
    </row>
    <row r="491">
      <c r="A491" s="12" t="n"/>
      <c r="B491" s="13" t="n"/>
      <c r="C491" s="14" t="n"/>
      <c r="D491" s="15" t="n"/>
      <c r="E491" s="15" t="n"/>
      <c r="F491" s="15" t="n"/>
      <c r="G491" s="15" t="n"/>
      <c r="H491" s="16" t="n"/>
      <c r="I491" s="14" t="n"/>
      <c r="J491" s="17" t="n"/>
      <c r="K491" s="17">
        <f>IF(OR(H491="",J491=""),"",H491*J491)</f>
        <v/>
      </c>
      <c r="L491" s="12" t="n"/>
      <c r="M491" s="15" t="n"/>
      <c r="N491" s="15" t="n"/>
      <c r="O491" s="14" t="n"/>
      <c r="P491" s="14">
        <f>IF(OR(L491="",D491="",O491="납품완료",O491="취소"),"",IF(L491&lt;TODAY(),"지연",IF(L491-TODAY()&lt;=$L$1,"임박","")))</f>
        <v/>
      </c>
      <c r="Q491" s="14" t="n"/>
      <c r="R491" s="15" t="n"/>
      <c r="S491" s="18">
        <f>IF(F491="","",IF(COUNTIF(F$4:F491,F491)=1,MAX(S$3:S490)+1,""))</f>
        <v/>
      </c>
    </row>
    <row r="492">
      <c r="A492" s="12" t="n"/>
      <c r="B492" s="13" t="n"/>
      <c r="C492" s="14" t="n"/>
      <c r="D492" s="15" t="n"/>
      <c r="E492" s="15" t="n"/>
      <c r="F492" s="15" t="n"/>
      <c r="G492" s="15" t="n"/>
      <c r="H492" s="16" t="n"/>
      <c r="I492" s="14" t="n"/>
      <c r="J492" s="17" t="n"/>
      <c r="K492" s="17">
        <f>IF(OR(H492="",J492=""),"",H492*J492)</f>
        <v/>
      </c>
      <c r="L492" s="12" t="n"/>
      <c r="M492" s="15" t="n"/>
      <c r="N492" s="15" t="n"/>
      <c r="O492" s="14" t="n"/>
      <c r="P492" s="14">
        <f>IF(OR(L492="",D492="",O492="납품완료",O492="취소"),"",IF(L492&lt;TODAY(),"지연",IF(L492-TODAY()&lt;=$L$1,"임박","")))</f>
        <v/>
      </c>
      <c r="Q492" s="14" t="n"/>
      <c r="R492" s="15" t="n"/>
      <c r="S492" s="18">
        <f>IF(F492="","",IF(COUNTIF(F$4:F492,F492)=1,MAX(S$3:S491)+1,""))</f>
        <v/>
      </c>
    </row>
    <row r="493">
      <c r="A493" s="12" t="n"/>
      <c r="B493" s="13" t="n"/>
      <c r="C493" s="14" t="n"/>
      <c r="D493" s="15" t="n"/>
      <c r="E493" s="15" t="n"/>
      <c r="F493" s="15" t="n"/>
      <c r="G493" s="15" t="n"/>
      <c r="H493" s="16" t="n"/>
      <c r="I493" s="14" t="n"/>
      <c r="J493" s="17" t="n"/>
      <c r="K493" s="17">
        <f>IF(OR(H493="",J493=""),"",H493*J493)</f>
        <v/>
      </c>
      <c r="L493" s="12" t="n"/>
      <c r="M493" s="15" t="n"/>
      <c r="N493" s="15" t="n"/>
      <c r="O493" s="14" t="n"/>
      <c r="P493" s="14">
        <f>IF(OR(L493="",D493="",O493="납품완료",O493="취소"),"",IF(L493&lt;TODAY(),"지연",IF(L493-TODAY()&lt;=$L$1,"임박","")))</f>
        <v/>
      </c>
      <c r="Q493" s="14" t="n"/>
      <c r="R493" s="15" t="n"/>
      <c r="S493" s="18">
        <f>IF(F493="","",IF(COUNTIF(F$4:F493,F493)=1,MAX(S$3:S492)+1,""))</f>
        <v/>
      </c>
    </row>
    <row r="494">
      <c r="A494" s="12" t="n"/>
      <c r="B494" s="13" t="n"/>
      <c r="C494" s="14" t="n"/>
      <c r="D494" s="15" t="n"/>
      <c r="E494" s="15" t="n"/>
      <c r="F494" s="15" t="n"/>
      <c r="G494" s="15" t="n"/>
      <c r="H494" s="16" t="n"/>
      <c r="I494" s="14" t="n"/>
      <c r="J494" s="17" t="n"/>
      <c r="K494" s="17">
        <f>IF(OR(H494="",J494=""),"",H494*J494)</f>
        <v/>
      </c>
      <c r="L494" s="12" t="n"/>
      <c r="M494" s="15" t="n"/>
      <c r="N494" s="15" t="n"/>
      <c r="O494" s="14" t="n"/>
      <c r="P494" s="14">
        <f>IF(OR(L494="",D494="",O494="납품완료",O494="취소"),"",IF(L494&lt;TODAY(),"지연",IF(L494-TODAY()&lt;=$L$1,"임박","")))</f>
        <v/>
      </c>
      <c r="Q494" s="14" t="n"/>
      <c r="R494" s="15" t="n"/>
      <c r="S494" s="18">
        <f>IF(F494="","",IF(COUNTIF(F$4:F494,F494)=1,MAX(S$3:S493)+1,""))</f>
        <v/>
      </c>
    </row>
    <row r="495">
      <c r="A495" s="12" t="n"/>
      <c r="B495" s="13" t="n"/>
      <c r="C495" s="14" t="n"/>
      <c r="D495" s="15" t="n"/>
      <c r="E495" s="15" t="n"/>
      <c r="F495" s="15" t="n"/>
      <c r="G495" s="15" t="n"/>
      <c r="H495" s="16" t="n"/>
      <c r="I495" s="14" t="n"/>
      <c r="J495" s="17" t="n"/>
      <c r="K495" s="17">
        <f>IF(OR(H495="",J495=""),"",H495*J495)</f>
        <v/>
      </c>
      <c r="L495" s="12" t="n"/>
      <c r="M495" s="15" t="n"/>
      <c r="N495" s="15" t="n"/>
      <c r="O495" s="14" t="n"/>
      <c r="P495" s="14">
        <f>IF(OR(L495="",D495="",O495="납품완료",O495="취소"),"",IF(L495&lt;TODAY(),"지연",IF(L495-TODAY()&lt;=$L$1,"임박","")))</f>
        <v/>
      </c>
      <c r="Q495" s="14" t="n"/>
      <c r="R495" s="15" t="n"/>
      <c r="S495" s="18">
        <f>IF(F495="","",IF(COUNTIF(F$4:F495,F495)=1,MAX(S$3:S494)+1,""))</f>
        <v/>
      </c>
    </row>
    <row r="496">
      <c r="A496" s="12" t="n"/>
      <c r="B496" s="13" t="n"/>
      <c r="C496" s="14" t="n"/>
      <c r="D496" s="15" t="n"/>
      <c r="E496" s="15" t="n"/>
      <c r="F496" s="15" t="n"/>
      <c r="G496" s="15" t="n"/>
      <c r="H496" s="16" t="n"/>
      <c r="I496" s="14" t="n"/>
      <c r="J496" s="17" t="n"/>
      <c r="K496" s="17">
        <f>IF(OR(H496="",J496=""),"",H496*J496)</f>
        <v/>
      </c>
      <c r="L496" s="12" t="n"/>
      <c r="M496" s="15" t="n"/>
      <c r="N496" s="15" t="n"/>
      <c r="O496" s="14" t="n"/>
      <c r="P496" s="14">
        <f>IF(OR(L496="",D496="",O496="납품완료",O496="취소"),"",IF(L496&lt;TODAY(),"지연",IF(L496-TODAY()&lt;=$L$1,"임박","")))</f>
        <v/>
      </c>
      <c r="Q496" s="14" t="n"/>
      <c r="R496" s="15" t="n"/>
      <c r="S496" s="18">
        <f>IF(F496="","",IF(COUNTIF(F$4:F496,F496)=1,MAX(S$3:S495)+1,""))</f>
        <v/>
      </c>
    </row>
    <row r="497">
      <c r="A497" s="12" t="n"/>
      <c r="B497" s="13" t="n"/>
      <c r="C497" s="14" t="n"/>
      <c r="D497" s="15" t="n"/>
      <c r="E497" s="15" t="n"/>
      <c r="F497" s="15" t="n"/>
      <c r="G497" s="15" t="n"/>
      <c r="H497" s="16" t="n"/>
      <c r="I497" s="14" t="n"/>
      <c r="J497" s="17" t="n"/>
      <c r="K497" s="17">
        <f>IF(OR(H497="",J497=""),"",H497*J497)</f>
        <v/>
      </c>
      <c r="L497" s="12" t="n"/>
      <c r="M497" s="15" t="n"/>
      <c r="N497" s="15" t="n"/>
      <c r="O497" s="14" t="n"/>
      <c r="P497" s="14">
        <f>IF(OR(L497="",D497="",O497="납품완료",O497="취소"),"",IF(L497&lt;TODAY(),"지연",IF(L497-TODAY()&lt;=$L$1,"임박","")))</f>
        <v/>
      </c>
      <c r="Q497" s="14" t="n"/>
      <c r="R497" s="15" t="n"/>
      <c r="S497" s="18">
        <f>IF(F497="","",IF(COUNTIF(F$4:F497,F497)=1,MAX(S$3:S496)+1,""))</f>
        <v/>
      </c>
    </row>
    <row r="498">
      <c r="A498" s="12" t="n"/>
      <c r="B498" s="13" t="n"/>
      <c r="C498" s="14" t="n"/>
      <c r="D498" s="15" t="n"/>
      <c r="E498" s="15" t="n"/>
      <c r="F498" s="15" t="n"/>
      <c r="G498" s="15" t="n"/>
      <c r="H498" s="16" t="n"/>
      <c r="I498" s="14" t="n"/>
      <c r="J498" s="17" t="n"/>
      <c r="K498" s="17">
        <f>IF(OR(H498="",J498=""),"",H498*J498)</f>
        <v/>
      </c>
      <c r="L498" s="12" t="n"/>
      <c r="M498" s="15" t="n"/>
      <c r="N498" s="15" t="n"/>
      <c r="O498" s="14" t="n"/>
      <c r="P498" s="14">
        <f>IF(OR(L498="",D498="",O498="납품완료",O498="취소"),"",IF(L498&lt;TODAY(),"지연",IF(L498-TODAY()&lt;=$L$1,"임박","")))</f>
        <v/>
      </c>
      <c r="Q498" s="14" t="n"/>
      <c r="R498" s="15" t="n"/>
      <c r="S498" s="18">
        <f>IF(F498="","",IF(COUNTIF(F$4:F498,F498)=1,MAX(S$3:S497)+1,""))</f>
        <v/>
      </c>
    </row>
    <row r="499">
      <c r="A499" s="12" t="n"/>
      <c r="B499" s="13" t="n"/>
      <c r="C499" s="14" t="n"/>
      <c r="D499" s="15" t="n"/>
      <c r="E499" s="15" t="n"/>
      <c r="F499" s="15" t="n"/>
      <c r="G499" s="15" t="n"/>
      <c r="H499" s="16" t="n"/>
      <c r="I499" s="14" t="n"/>
      <c r="J499" s="17" t="n"/>
      <c r="K499" s="17">
        <f>IF(OR(H499="",J499=""),"",H499*J499)</f>
        <v/>
      </c>
      <c r="L499" s="12" t="n"/>
      <c r="M499" s="15" t="n"/>
      <c r="N499" s="15" t="n"/>
      <c r="O499" s="14" t="n"/>
      <c r="P499" s="14">
        <f>IF(OR(L499="",D499="",O499="납품완료",O499="취소"),"",IF(L499&lt;TODAY(),"지연",IF(L499-TODAY()&lt;=$L$1,"임박","")))</f>
        <v/>
      </c>
      <c r="Q499" s="14" t="n"/>
      <c r="R499" s="15" t="n"/>
      <c r="S499" s="18">
        <f>IF(F499="","",IF(COUNTIF(F$4:F499,F499)=1,MAX(S$3:S498)+1,""))</f>
        <v/>
      </c>
    </row>
    <row r="500">
      <c r="A500" s="12" t="n"/>
      <c r="B500" s="13" t="n"/>
      <c r="C500" s="14" t="n"/>
      <c r="D500" s="15" t="n"/>
      <c r="E500" s="15" t="n"/>
      <c r="F500" s="15" t="n"/>
      <c r="G500" s="15" t="n"/>
      <c r="H500" s="16" t="n"/>
      <c r="I500" s="14" t="n"/>
      <c r="J500" s="17" t="n"/>
      <c r="K500" s="17">
        <f>IF(OR(H500="",J500=""),"",H500*J500)</f>
        <v/>
      </c>
      <c r="L500" s="12" t="n"/>
      <c r="M500" s="15" t="n"/>
      <c r="N500" s="15" t="n"/>
      <c r="O500" s="14" t="n"/>
      <c r="P500" s="14">
        <f>IF(OR(L500="",D500="",O500="납품완료",O500="취소"),"",IF(L500&lt;TODAY(),"지연",IF(L500-TODAY()&lt;=$L$1,"임박","")))</f>
        <v/>
      </c>
      <c r="Q500" s="14" t="n"/>
      <c r="R500" s="15" t="n"/>
      <c r="S500" s="18">
        <f>IF(F500="","",IF(COUNTIF(F$4:F500,F500)=1,MAX(S$3:S499)+1,""))</f>
        <v/>
      </c>
    </row>
    <row r="501">
      <c r="A501" s="12" t="n"/>
      <c r="B501" s="13" t="n"/>
      <c r="C501" s="14" t="n"/>
      <c r="D501" s="15" t="n"/>
      <c r="E501" s="15" t="n"/>
      <c r="F501" s="15" t="n"/>
      <c r="G501" s="15" t="n"/>
      <c r="H501" s="16" t="n"/>
      <c r="I501" s="14" t="n"/>
      <c r="J501" s="17" t="n"/>
      <c r="K501" s="17">
        <f>IF(OR(H501="",J501=""),"",H501*J501)</f>
        <v/>
      </c>
      <c r="L501" s="12" t="n"/>
      <c r="M501" s="15" t="n"/>
      <c r="N501" s="15" t="n"/>
      <c r="O501" s="14" t="n"/>
      <c r="P501" s="14">
        <f>IF(OR(L501="",D501="",O501="납품완료",O501="취소"),"",IF(L501&lt;TODAY(),"지연",IF(L501-TODAY()&lt;=$L$1,"임박","")))</f>
        <v/>
      </c>
      <c r="Q501" s="14" t="n"/>
      <c r="R501" s="15" t="n"/>
      <c r="S501" s="18">
        <f>IF(F501="","",IF(COUNTIF(F$4:F501,F501)=1,MAX(S$3:S500)+1,""))</f>
        <v/>
      </c>
    </row>
    <row r="502">
      <c r="A502" s="12" t="n"/>
      <c r="B502" s="13" t="n"/>
      <c r="C502" s="14" t="n"/>
      <c r="D502" s="15" t="n"/>
      <c r="E502" s="15" t="n"/>
      <c r="F502" s="15" t="n"/>
      <c r="G502" s="15" t="n"/>
      <c r="H502" s="16" t="n"/>
      <c r="I502" s="14" t="n"/>
      <c r="J502" s="17" t="n"/>
      <c r="K502" s="17">
        <f>IF(OR(H502="",J502=""),"",H502*J502)</f>
        <v/>
      </c>
      <c r="L502" s="12" t="n"/>
      <c r="M502" s="15" t="n"/>
      <c r="N502" s="15" t="n"/>
      <c r="O502" s="14" t="n"/>
      <c r="P502" s="14">
        <f>IF(OR(L502="",D502="",O502="납품완료",O502="취소"),"",IF(L502&lt;TODAY(),"지연",IF(L502-TODAY()&lt;=$L$1,"임박","")))</f>
        <v/>
      </c>
      <c r="Q502" s="14" t="n"/>
      <c r="R502" s="15" t="n"/>
      <c r="S502" s="18">
        <f>IF(F502="","",IF(COUNTIF(F$4:F502,F502)=1,MAX(S$3:S501)+1,""))</f>
        <v/>
      </c>
    </row>
    <row r="503">
      <c r="A503" s="12" t="n"/>
      <c r="B503" s="13" t="n"/>
      <c r="C503" s="14" t="n"/>
      <c r="D503" s="15" t="n"/>
      <c r="E503" s="15" t="n"/>
      <c r="F503" s="15" t="n"/>
      <c r="G503" s="15" t="n"/>
      <c r="H503" s="16" t="n"/>
      <c r="I503" s="14" t="n"/>
      <c r="J503" s="17" t="n"/>
      <c r="K503" s="17">
        <f>IF(OR(H503="",J503=""),"",H503*J503)</f>
        <v/>
      </c>
      <c r="L503" s="12" t="n"/>
      <c r="M503" s="15" t="n"/>
      <c r="N503" s="15" t="n"/>
      <c r="O503" s="14" t="n"/>
      <c r="P503" s="14">
        <f>IF(OR(L503="",D503="",O503="납품완료",O503="취소"),"",IF(L503&lt;TODAY(),"지연",IF(L503-TODAY()&lt;=$L$1,"임박","")))</f>
        <v/>
      </c>
      <c r="Q503" s="14" t="n"/>
      <c r="R503" s="15" t="n"/>
      <c r="S503" s="18">
        <f>IF(F503="","",IF(COUNTIF(F$4:F503,F503)=1,MAX(S$3:S502)+1,""))</f>
        <v/>
      </c>
    </row>
  </sheetData>
  <autoFilter ref="A3:R503"/>
  <mergeCells count="2">
    <mergeCell ref="A1:C1"/>
    <mergeCell ref="M1:R1"/>
  </mergeCells>
  <conditionalFormatting sqref="A4:R503">
    <cfRule type="expression" priority="1" dxfId="0" stopIfTrue="1">
      <formula>$P4="지연"</formula>
    </cfRule>
    <cfRule type="expression" priority="2" dxfId="1" stopIfTrue="1">
      <formula>$P4="임박"</formula>
    </cfRule>
    <cfRule type="expression" priority="3" dxfId="2" stopIfTrue="0">
      <formula>OR($O4="납품완료",$O4="취소")</formula>
    </cfRule>
  </conditionalFormatting>
  <dataValidations count="2">
    <dataValidation sqref="C4:C503" showDropDown="0" showInputMessage="0" showErrorMessage="0" allowBlank="1" type="list">
      <formula1>"팩스,카톡,메일,전화,문자,방문,기타"</formula1>
    </dataValidation>
    <dataValidation sqref="O4:O503" showDropDown="0" showInputMessage="0" showErrorMessage="0" allowBlank="1" type="list">
      <formula1>"접수,진행중,출고,납품완료,취소"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7" customWidth="1" min="3" max="3"/>
    <col width="10" customWidth="1" min="4" max="4"/>
    <col width="11" customWidth="1" min="5" max="5"/>
    <col width="13" customWidth="1" min="6" max="6"/>
    <col width="11" customWidth="1" min="7" max="7"/>
    <col width="9" customWidth="1" min="8" max="8"/>
    <col width="9" customWidth="1" min="9" max="9"/>
    <col width="11" customWidth="1" min="10" max="10"/>
  </cols>
  <sheetData>
    <row r="1">
      <c r="A1" s="1" t="inlineStr">
        <is>
          <t>품목별 집계</t>
        </is>
      </c>
      <c r="B1" s="2" t="n"/>
      <c r="C1" s="2" t="n"/>
      <c r="D1" s="2" t="n"/>
      <c r="E1" s="2" t="n"/>
      <c r="F1" s="2" t="n"/>
    </row>
    <row r="2">
      <c r="A2" s="7" t="inlineStr">
        <is>
          <t>'주문 접수 대장' 시트에서 자동으로 계산합니다. 품목은 대장에 처음 나온 순서대로 채워집니다. 기간은 수신일 기준입니다.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기간 (수신일)</t>
        </is>
      </c>
      <c r="B3" s="19">
        <f>DATE(YEAR(TODAY()),MONTH(TODAY()),1)</f>
        <v/>
      </c>
      <c r="C3" s="20" t="inlineStr">
        <is>
          <t>~</t>
        </is>
      </c>
      <c r="D3" s="19">
        <f>DATE(YEAR(TODAY()),MONTH(TODAY())+1,1)-1</f>
        <v/>
      </c>
      <c r="E3" s="21" t="n"/>
      <c r="F3" s="7" t="inlineStr">
        <is>
          <t>처음에는 이번 달입니다. 날짜를 직접 적어 바꿉니다.</t>
        </is>
      </c>
      <c r="G3" s="2" t="n"/>
      <c r="H3" s="2" t="n"/>
      <c r="I3" s="2" t="n"/>
      <c r="J3" s="2" t="n"/>
    </row>
    <row r="5" ht="30" customHeight="1">
      <c r="A5" s="22" t="inlineStr">
        <is>
          <t>품목</t>
        </is>
      </c>
      <c r="B5" s="22" t="inlineStr">
        <is>
          <t>규격(첫 줄)</t>
        </is>
      </c>
      <c r="C5" s="22" t="inlineStr">
        <is>
          <t>단위</t>
        </is>
      </c>
      <c r="D5" s="22" t="inlineStr">
        <is>
          <t>주문 줄 수</t>
        </is>
      </c>
      <c r="E5" s="22" t="inlineStr">
        <is>
          <t>수량 합계</t>
        </is>
      </c>
      <c r="F5" s="22" t="inlineStr">
        <is>
          <t>금액 합계</t>
        </is>
      </c>
      <c r="G5" s="22" t="inlineStr">
        <is>
          <t>미납 수량</t>
        </is>
      </c>
      <c r="H5" s="22" t="inlineStr">
        <is>
          <t>지연</t>
        </is>
      </c>
      <c r="I5" s="22" t="inlineStr">
        <is>
          <t>취소</t>
        </is>
      </c>
      <c r="J5" s="22" t="inlineStr">
        <is>
          <t>단위 확인</t>
        </is>
      </c>
    </row>
    <row r="6">
      <c r="A6" s="23">
        <f>IFERROR(INDEX('주문 접수 대장'!$F$4:$F$503,MATCH(1,'주문 접수 대장'!$S$4:$S$503,0)),"")</f>
        <v/>
      </c>
      <c r="B6" s="24">
        <f>IF($A6="","",INDEX('주문 접수 대장'!$G$4:$G$503,MATCH($A6,'주문 접수 대장'!$F$4:$F$503,0))&amp;"")</f>
        <v/>
      </c>
      <c r="C6" s="14">
        <f>IF($A6="","",INDEX('주문 접수 대장'!$I$4:$I$503,MATCH($A6,'주문 접수 대장'!$F$4:$F$503,0))&amp;"")</f>
        <v/>
      </c>
      <c r="D6" s="25">
        <f>IF($A6="","",COUNTIFS('주문 접수 대장'!$F$4:$F$503,$A6,'주문 접수 대장'!$A$4:$A$503,"&gt;="&amp;$B$3,'주문 접수 대장'!$A$4:$A$503,"&lt;="&amp;$D$3))</f>
        <v/>
      </c>
      <c r="E6" s="16">
        <f>IF($A6="","",SUMIFS('주문 접수 대장'!$H$4:$H$503,'주문 접수 대장'!$F$4:$F$503,$A6,'주문 접수 대장'!$A$4:$A$503,"&gt;="&amp;$B$3,'주문 접수 대장'!$A$4:$A$503,"&lt;="&amp;$D$3))</f>
        <v/>
      </c>
      <c r="F6" s="26">
        <f>IF($A6="","",SUMIFS('주문 접수 대장'!$K$4:$K$503,'주문 접수 대장'!$F$4:$F$503,$A6,'주문 접수 대장'!$A$4:$A$503,"&gt;="&amp;$B$3,'주문 접수 대장'!$A$4:$A$503,"&lt;="&amp;$D$3))</f>
        <v/>
      </c>
      <c r="G6" s="16">
        <f>IF($A6="","",SUMIFS('주문 접수 대장'!$H$4:$H$503,'주문 접수 대장'!$F$4:$F$503,$A6,'주문 접수 대장'!$A$4:$A$503,"&gt;="&amp;$B$3,'주문 접수 대장'!$A$4:$A$503,"&lt;="&amp;$D$3,'주문 접수 대장'!$O$4:$O$503,"&lt;&gt;납품완료",'주문 접수 대장'!$O$4:$O$503,"&lt;&gt;취소"))</f>
        <v/>
      </c>
      <c r="H6" s="25">
        <f>IF($A6="","",COUNTIFS('주문 접수 대장'!$F$4:$F$503,$A6,'주문 접수 대장'!$A$4:$A$503,"&gt;="&amp;$B$3,'주문 접수 대장'!$A$4:$A$503,"&lt;="&amp;$D$3,'주문 접수 대장'!$P$4:$P$503,"지연"))</f>
        <v/>
      </c>
      <c r="I6" s="25">
        <f>IF($A6="","",COUNTIFS('주문 접수 대장'!$F$4:$F$503,$A6,'주문 접수 대장'!$A$4:$A$503,"&gt;="&amp;$B$3,'주문 접수 대장'!$A$4:$A$503,"&lt;="&amp;$D$3,'주문 접수 대장'!$O$4:$O$503,"취소"))</f>
        <v/>
      </c>
      <c r="J6" s="27">
        <f>IF($A6="","",IF(COUNTIFS('주문 접수 대장'!$F$4:$F$503,$A6,'주문 접수 대장'!$I$4:$I$503,"&lt;&gt;"&amp;C6)&gt;0,"단위 섞임",""))</f>
        <v/>
      </c>
    </row>
    <row r="7">
      <c r="A7" s="23">
        <f>IFERROR(INDEX('주문 접수 대장'!$F$4:$F$503,MATCH(2,'주문 접수 대장'!$S$4:$S$503,0)),"")</f>
        <v/>
      </c>
      <c r="B7" s="24">
        <f>IF($A7="","",INDEX('주문 접수 대장'!$G$4:$G$503,MATCH($A7,'주문 접수 대장'!$F$4:$F$503,0))&amp;"")</f>
        <v/>
      </c>
      <c r="C7" s="14">
        <f>IF($A7="","",INDEX('주문 접수 대장'!$I$4:$I$503,MATCH($A7,'주문 접수 대장'!$F$4:$F$503,0))&amp;"")</f>
        <v/>
      </c>
      <c r="D7" s="25">
        <f>IF($A7="","",COUNTIFS('주문 접수 대장'!$F$4:$F$503,$A7,'주문 접수 대장'!$A$4:$A$503,"&gt;="&amp;$B$3,'주문 접수 대장'!$A$4:$A$503,"&lt;="&amp;$D$3))</f>
        <v/>
      </c>
      <c r="E7" s="16">
        <f>IF($A7="","",SUMIFS('주문 접수 대장'!$H$4:$H$503,'주문 접수 대장'!$F$4:$F$503,$A7,'주문 접수 대장'!$A$4:$A$503,"&gt;="&amp;$B$3,'주문 접수 대장'!$A$4:$A$503,"&lt;="&amp;$D$3))</f>
        <v/>
      </c>
      <c r="F7" s="26">
        <f>IF($A7="","",SUMIFS('주문 접수 대장'!$K$4:$K$503,'주문 접수 대장'!$F$4:$F$503,$A7,'주문 접수 대장'!$A$4:$A$503,"&gt;="&amp;$B$3,'주문 접수 대장'!$A$4:$A$503,"&lt;="&amp;$D$3))</f>
        <v/>
      </c>
      <c r="G7" s="16">
        <f>IF($A7="","",SUMIFS('주문 접수 대장'!$H$4:$H$503,'주문 접수 대장'!$F$4:$F$503,$A7,'주문 접수 대장'!$A$4:$A$503,"&gt;="&amp;$B$3,'주문 접수 대장'!$A$4:$A$503,"&lt;="&amp;$D$3,'주문 접수 대장'!$O$4:$O$503,"&lt;&gt;납품완료",'주문 접수 대장'!$O$4:$O$503,"&lt;&gt;취소"))</f>
        <v/>
      </c>
      <c r="H7" s="25">
        <f>IF($A7="","",COUNTIFS('주문 접수 대장'!$F$4:$F$503,$A7,'주문 접수 대장'!$A$4:$A$503,"&gt;="&amp;$B$3,'주문 접수 대장'!$A$4:$A$503,"&lt;="&amp;$D$3,'주문 접수 대장'!$P$4:$P$503,"지연"))</f>
        <v/>
      </c>
      <c r="I7" s="25">
        <f>IF($A7="","",COUNTIFS('주문 접수 대장'!$F$4:$F$503,$A7,'주문 접수 대장'!$A$4:$A$503,"&gt;="&amp;$B$3,'주문 접수 대장'!$A$4:$A$503,"&lt;="&amp;$D$3,'주문 접수 대장'!$O$4:$O$503,"취소"))</f>
        <v/>
      </c>
      <c r="J7" s="27">
        <f>IF($A7="","",IF(COUNTIFS('주문 접수 대장'!$F$4:$F$503,$A7,'주문 접수 대장'!$I$4:$I$503,"&lt;&gt;"&amp;C7)&gt;0,"단위 섞임",""))</f>
        <v/>
      </c>
    </row>
    <row r="8">
      <c r="A8" s="23">
        <f>IFERROR(INDEX('주문 접수 대장'!$F$4:$F$503,MATCH(3,'주문 접수 대장'!$S$4:$S$503,0)),"")</f>
        <v/>
      </c>
      <c r="B8" s="24">
        <f>IF($A8="","",INDEX('주문 접수 대장'!$G$4:$G$503,MATCH($A8,'주문 접수 대장'!$F$4:$F$503,0))&amp;"")</f>
        <v/>
      </c>
      <c r="C8" s="14">
        <f>IF($A8="","",INDEX('주문 접수 대장'!$I$4:$I$503,MATCH($A8,'주문 접수 대장'!$F$4:$F$503,0))&amp;"")</f>
        <v/>
      </c>
      <c r="D8" s="25">
        <f>IF($A8="","",COUNTIFS('주문 접수 대장'!$F$4:$F$503,$A8,'주문 접수 대장'!$A$4:$A$503,"&gt;="&amp;$B$3,'주문 접수 대장'!$A$4:$A$503,"&lt;="&amp;$D$3))</f>
        <v/>
      </c>
      <c r="E8" s="16">
        <f>IF($A8="","",SUMIFS('주문 접수 대장'!$H$4:$H$503,'주문 접수 대장'!$F$4:$F$503,$A8,'주문 접수 대장'!$A$4:$A$503,"&gt;="&amp;$B$3,'주문 접수 대장'!$A$4:$A$503,"&lt;="&amp;$D$3))</f>
        <v/>
      </c>
      <c r="F8" s="26">
        <f>IF($A8="","",SUMIFS('주문 접수 대장'!$K$4:$K$503,'주문 접수 대장'!$F$4:$F$503,$A8,'주문 접수 대장'!$A$4:$A$503,"&gt;="&amp;$B$3,'주문 접수 대장'!$A$4:$A$503,"&lt;="&amp;$D$3))</f>
        <v/>
      </c>
      <c r="G8" s="16">
        <f>IF($A8="","",SUMIFS('주문 접수 대장'!$H$4:$H$503,'주문 접수 대장'!$F$4:$F$503,$A8,'주문 접수 대장'!$A$4:$A$503,"&gt;="&amp;$B$3,'주문 접수 대장'!$A$4:$A$503,"&lt;="&amp;$D$3,'주문 접수 대장'!$O$4:$O$503,"&lt;&gt;납품완료",'주문 접수 대장'!$O$4:$O$503,"&lt;&gt;취소"))</f>
        <v/>
      </c>
      <c r="H8" s="25">
        <f>IF($A8="","",COUNTIFS('주문 접수 대장'!$F$4:$F$503,$A8,'주문 접수 대장'!$A$4:$A$503,"&gt;="&amp;$B$3,'주문 접수 대장'!$A$4:$A$503,"&lt;="&amp;$D$3,'주문 접수 대장'!$P$4:$P$503,"지연"))</f>
        <v/>
      </c>
      <c r="I8" s="25">
        <f>IF($A8="","",COUNTIFS('주문 접수 대장'!$F$4:$F$503,$A8,'주문 접수 대장'!$A$4:$A$503,"&gt;="&amp;$B$3,'주문 접수 대장'!$A$4:$A$503,"&lt;="&amp;$D$3,'주문 접수 대장'!$O$4:$O$503,"취소"))</f>
        <v/>
      </c>
      <c r="J8" s="27">
        <f>IF($A8="","",IF(COUNTIFS('주문 접수 대장'!$F$4:$F$503,$A8,'주문 접수 대장'!$I$4:$I$503,"&lt;&gt;"&amp;C8)&gt;0,"단위 섞임",""))</f>
        <v/>
      </c>
    </row>
    <row r="9">
      <c r="A9" s="23">
        <f>IFERROR(INDEX('주문 접수 대장'!$F$4:$F$503,MATCH(4,'주문 접수 대장'!$S$4:$S$503,0)),"")</f>
        <v/>
      </c>
      <c r="B9" s="24">
        <f>IF($A9="","",INDEX('주문 접수 대장'!$G$4:$G$503,MATCH($A9,'주문 접수 대장'!$F$4:$F$503,0))&amp;"")</f>
        <v/>
      </c>
      <c r="C9" s="14">
        <f>IF($A9="","",INDEX('주문 접수 대장'!$I$4:$I$503,MATCH($A9,'주문 접수 대장'!$F$4:$F$503,0))&amp;"")</f>
        <v/>
      </c>
      <c r="D9" s="25">
        <f>IF($A9="","",COUNTIFS('주문 접수 대장'!$F$4:$F$503,$A9,'주문 접수 대장'!$A$4:$A$503,"&gt;="&amp;$B$3,'주문 접수 대장'!$A$4:$A$503,"&lt;="&amp;$D$3))</f>
        <v/>
      </c>
      <c r="E9" s="16">
        <f>IF($A9="","",SUMIFS('주문 접수 대장'!$H$4:$H$503,'주문 접수 대장'!$F$4:$F$503,$A9,'주문 접수 대장'!$A$4:$A$503,"&gt;="&amp;$B$3,'주문 접수 대장'!$A$4:$A$503,"&lt;="&amp;$D$3))</f>
        <v/>
      </c>
      <c r="F9" s="26">
        <f>IF($A9="","",SUMIFS('주문 접수 대장'!$K$4:$K$503,'주문 접수 대장'!$F$4:$F$503,$A9,'주문 접수 대장'!$A$4:$A$503,"&gt;="&amp;$B$3,'주문 접수 대장'!$A$4:$A$503,"&lt;="&amp;$D$3))</f>
        <v/>
      </c>
      <c r="G9" s="16">
        <f>IF($A9="","",SUMIFS('주문 접수 대장'!$H$4:$H$503,'주문 접수 대장'!$F$4:$F$503,$A9,'주문 접수 대장'!$A$4:$A$503,"&gt;="&amp;$B$3,'주문 접수 대장'!$A$4:$A$503,"&lt;="&amp;$D$3,'주문 접수 대장'!$O$4:$O$503,"&lt;&gt;납품완료",'주문 접수 대장'!$O$4:$O$503,"&lt;&gt;취소"))</f>
        <v/>
      </c>
      <c r="H9" s="25">
        <f>IF($A9="","",COUNTIFS('주문 접수 대장'!$F$4:$F$503,$A9,'주문 접수 대장'!$A$4:$A$503,"&gt;="&amp;$B$3,'주문 접수 대장'!$A$4:$A$503,"&lt;="&amp;$D$3,'주문 접수 대장'!$P$4:$P$503,"지연"))</f>
        <v/>
      </c>
      <c r="I9" s="25">
        <f>IF($A9="","",COUNTIFS('주문 접수 대장'!$F$4:$F$503,$A9,'주문 접수 대장'!$A$4:$A$503,"&gt;="&amp;$B$3,'주문 접수 대장'!$A$4:$A$503,"&lt;="&amp;$D$3,'주문 접수 대장'!$O$4:$O$503,"취소"))</f>
        <v/>
      </c>
      <c r="J9" s="27">
        <f>IF($A9="","",IF(COUNTIFS('주문 접수 대장'!$F$4:$F$503,$A9,'주문 접수 대장'!$I$4:$I$503,"&lt;&gt;"&amp;C9)&gt;0,"단위 섞임",""))</f>
        <v/>
      </c>
    </row>
    <row r="10">
      <c r="A10" s="23">
        <f>IFERROR(INDEX('주문 접수 대장'!$F$4:$F$503,MATCH(5,'주문 접수 대장'!$S$4:$S$503,0)),"")</f>
        <v/>
      </c>
      <c r="B10" s="24">
        <f>IF($A10="","",INDEX('주문 접수 대장'!$G$4:$G$503,MATCH($A10,'주문 접수 대장'!$F$4:$F$503,0))&amp;"")</f>
        <v/>
      </c>
      <c r="C10" s="14">
        <f>IF($A10="","",INDEX('주문 접수 대장'!$I$4:$I$503,MATCH($A10,'주문 접수 대장'!$F$4:$F$503,0))&amp;"")</f>
        <v/>
      </c>
      <c r="D10" s="25">
        <f>IF($A10="","",COUNTIFS('주문 접수 대장'!$F$4:$F$503,$A10,'주문 접수 대장'!$A$4:$A$503,"&gt;="&amp;$B$3,'주문 접수 대장'!$A$4:$A$503,"&lt;="&amp;$D$3))</f>
        <v/>
      </c>
      <c r="E10" s="16">
        <f>IF($A10="","",SUMIFS('주문 접수 대장'!$H$4:$H$503,'주문 접수 대장'!$F$4:$F$503,$A10,'주문 접수 대장'!$A$4:$A$503,"&gt;="&amp;$B$3,'주문 접수 대장'!$A$4:$A$503,"&lt;="&amp;$D$3))</f>
        <v/>
      </c>
      <c r="F10" s="26">
        <f>IF($A10="","",SUMIFS('주문 접수 대장'!$K$4:$K$503,'주문 접수 대장'!$F$4:$F$503,$A10,'주문 접수 대장'!$A$4:$A$503,"&gt;="&amp;$B$3,'주문 접수 대장'!$A$4:$A$503,"&lt;="&amp;$D$3))</f>
        <v/>
      </c>
      <c r="G10" s="16">
        <f>IF($A10="","",SUMIFS('주문 접수 대장'!$H$4:$H$503,'주문 접수 대장'!$F$4:$F$503,$A10,'주문 접수 대장'!$A$4:$A$503,"&gt;="&amp;$B$3,'주문 접수 대장'!$A$4:$A$503,"&lt;="&amp;$D$3,'주문 접수 대장'!$O$4:$O$503,"&lt;&gt;납품완료",'주문 접수 대장'!$O$4:$O$503,"&lt;&gt;취소"))</f>
        <v/>
      </c>
      <c r="H10" s="25">
        <f>IF($A10="","",COUNTIFS('주문 접수 대장'!$F$4:$F$503,$A10,'주문 접수 대장'!$A$4:$A$503,"&gt;="&amp;$B$3,'주문 접수 대장'!$A$4:$A$503,"&lt;="&amp;$D$3,'주문 접수 대장'!$P$4:$P$503,"지연"))</f>
        <v/>
      </c>
      <c r="I10" s="25">
        <f>IF($A10="","",COUNTIFS('주문 접수 대장'!$F$4:$F$503,$A10,'주문 접수 대장'!$A$4:$A$503,"&gt;="&amp;$B$3,'주문 접수 대장'!$A$4:$A$503,"&lt;="&amp;$D$3,'주문 접수 대장'!$O$4:$O$503,"취소"))</f>
        <v/>
      </c>
      <c r="J10" s="27">
        <f>IF($A10="","",IF(COUNTIFS('주문 접수 대장'!$F$4:$F$503,$A10,'주문 접수 대장'!$I$4:$I$503,"&lt;&gt;"&amp;C10)&gt;0,"단위 섞임",""))</f>
        <v/>
      </c>
    </row>
    <row r="11">
      <c r="A11" s="23">
        <f>IFERROR(INDEX('주문 접수 대장'!$F$4:$F$503,MATCH(6,'주문 접수 대장'!$S$4:$S$503,0)),"")</f>
        <v/>
      </c>
      <c r="B11" s="24">
        <f>IF($A11="","",INDEX('주문 접수 대장'!$G$4:$G$503,MATCH($A11,'주문 접수 대장'!$F$4:$F$503,0))&amp;"")</f>
        <v/>
      </c>
      <c r="C11" s="14">
        <f>IF($A11="","",INDEX('주문 접수 대장'!$I$4:$I$503,MATCH($A11,'주문 접수 대장'!$F$4:$F$503,0))&amp;"")</f>
        <v/>
      </c>
      <c r="D11" s="25">
        <f>IF($A11="","",COUNTIFS('주문 접수 대장'!$F$4:$F$503,$A11,'주문 접수 대장'!$A$4:$A$503,"&gt;="&amp;$B$3,'주문 접수 대장'!$A$4:$A$503,"&lt;="&amp;$D$3))</f>
        <v/>
      </c>
      <c r="E11" s="16">
        <f>IF($A11="","",SUMIFS('주문 접수 대장'!$H$4:$H$503,'주문 접수 대장'!$F$4:$F$503,$A11,'주문 접수 대장'!$A$4:$A$503,"&gt;="&amp;$B$3,'주문 접수 대장'!$A$4:$A$503,"&lt;="&amp;$D$3))</f>
        <v/>
      </c>
      <c r="F11" s="26">
        <f>IF($A11="","",SUMIFS('주문 접수 대장'!$K$4:$K$503,'주문 접수 대장'!$F$4:$F$503,$A11,'주문 접수 대장'!$A$4:$A$503,"&gt;="&amp;$B$3,'주문 접수 대장'!$A$4:$A$503,"&lt;="&amp;$D$3))</f>
        <v/>
      </c>
      <c r="G11" s="16">
        <f>IF($A11="","",SUMIFS('주문 접수 대장'!$H$4:$H$503,'주문 접수 대장'!$F$4:$F$503,$A11,'주문 접수 대장'!$A$4:$A$503,"&gt;="&amp;$B$3,'주문 접수 대장'!$A$4:$A$503,"&lt;="&amp;$D$3,'주문 접수 대장'!$O$4:$O$503,"&lt;&gt;납품완료",'주문 접수 대장'!$O$4:$O$503,"&lt;&gt;취소"))</f>
        <v/>
      </c>
      <c r="H11" s="25">
        <f>IF($A11="","",COUNTIFS('주문 접수 대장'!$F$4:$F$503,$A11,'주문 접수 대장'!$A$4:$A$503,"&gt;="&amp;$B$3,'주문 접수 대장'!$A$4:$A$503,"&lt;="&amp;$D$3,'주문 접수 대장'!$P$4:$P$503,"지연"))</f>
        <v/>
      </c>
      <c r="I11" s="25">
        <f>IF($A11="","",COUNTIFS('주문 접수 대장'!$F$4:$F$503,$A11,'주문 접수 대장'!$A$4:$A$503,"&gt;="&amp;$B$3,'주문 접수 대장'!$A$4:$A$503,"&lt;="&amp;$D$3,'주문 접수 대장'!$O$4:$O$503,"취소"))</f>
        <v/>
      </c>
      <c r="J11" s="27">
        <f>IF($A11="","",IF(COUNTIFS('주문 접수 대장'!$F$4:$F$503,$A11,'주문 접수 대장'!$I$4:$I$503,"&lt;&gt;"&amp;C11)&gt;0,"단위 섞임",""))</f>
        <v/>
      </c>
    </row>
    <row r="12">
      <c r="A12" s="23">
        <f>IFERROR(INDEX('주문 접수 대장'!$F$4:$F$503,MATCH(7,'주문 접수 대장'!$S$4:$S$503,0)),"")</f>
        <v/>
      </c>
      <c r="B12" s="24">
        <f>IF($A12="","",INDEX('주문 접수 대장'!$G$4:$G$503,MATCH($A12,'주문 접수 대장'!$F$4:$F$503,0))&amp;"")</f>
        <v/>
      </c>
      <c r="C12" s="14">
        <f>IF($A12="","",INDEX('주문 접수 대장'!$I$4:$I$503,MATCH($A12,'주문 접수 대장'!$F$4:$F$503,0))&amp;"")</f>
        <v/>
      </c>
      <c r="D12" s="25">
        <f>IF($A12="","",COUNTIFS('주문 접수 대장'!$F$4:$F$503,$A12,'주문 접수 대장'!$A$4:$A$503,"&gt;="&amp;$B$3,'주문 접수 대장'!$A$4:$A$503,"&lt;="&amp;$D$3))</f>
        <v/>
      </c>
      <c r="E12" s="16">
        <f>IF($A12="","",SUMIFS('주문 접수 대장'!$H$4:$H$503,'주문 접수 대장'!$F$4:$F$503,$A12,'주문 접수 대장'!$A$4:$A$503,"&gt;="&amp;$B$3,'주문 접수 대장'!$A$4:$A$503,"&lt;="&amp;$D$3))</f>
        <v/>
      </c>
      <c r="F12" s="26">
        <f>IF($A12="","",SUMIFS('주문 접수 대장'!$K$4:$K$503,'주문 접수 대장'!$F$4:$F$503,$A12,'주문 접수 대장'!$A$4:$A$503,"&gt;="&amp;$B$3,'주문 접수 대장'!$A$4:$A$503,"&lt;="&amp;$D$3))</f>
        <v/>
      </c>
      <c r="G12" s="16">
        <f>IF($A12="","",SUMIFS('주문 접수 대장'!$H$4:$H$503,'주문 접수 대장'!$F$4:$F$503,$A12,'주문 접수 대장'!$A$4:$A$503,"&gt;="&amp;$B$3,'주문 접수 대장'!$A$4:$A$503,"&lt;="&amp;$D$3,'주문 접수 대장'!$O$4:$O$503,"&lt;&gt;납품완료",'주문 접수 대장'!$O$4:$O$503,"&lt;&gt;취소"))</f>
        <v/>
      </c>
      <c r="H12" s="25">
        <f>IF($A12="","",COUNTIFS('주문 접수 대장'!$F$4:$F$503,$A12,'주문 접수 대장'!$A$4:$A$503,"&gt;="&amp;$B$3,'주문 접수 대장'!$A$4:$A$503,"&lt;="&amp;$D$3,'주문 접수 대장'!$P$4:$P$503,"지연"))</f>
        <v/>
      </c>
      <c r="I12" s="25">
        <f>IF($A12="","",COUNTIFS('주문 접수 대장'!$F$4:$F$503,$A12,'주문 접수 대장'!$A$4:$A$503,"&gt;="&amp;$B$3,'주문 접수 대장'!$A$4:$A$503,"&lt;="&amp;$D$3,'주문 접수 대장'!$O$4:$O$503,"취소"))</f>
        <v/>
      </c>
      <c r="J12" s="27">
        <f>IF($A12="","",IF(COUNTIFS('주문 접수 대장'!$F$4:$F$503,$A12,'주문 접수 대장'!$I$4:$I$503,"&lt;&gt;"&amp;C12)&gt;0,"단위 섞임",""))</f>
        <v/>
      </c>
    </row>
    <row r="13">
      <c r="A13" s="23">
        <f>IFERROR(INDEX('주문 접수 대장'!$F$4:$F$503,MATCH(8,'주문 접수 대장'!$S$4:$S$503,0)),"")</f>
        <v/>
      </c>
      <c r="B13" s="24">
        <f>IF($A13="","",INDEX('주문 접수 대장'!$G$4:$G$503,MATCH($A13,'주문 접수 대장'!$F$4:$F$503,0))&amp;"")</f>
        <v/>
      </c>
      <c r="C13" s="14">
        <f>IF($A13="","",INDEX('주문 접수 대장'!$I$4:$I$503,MATCH($A13,'주문 접수 대장'!$F$4:$F$503,0))&amp;"")</f>
        <v/>
      </c>
      <c r="D13" s="25">
        <f>IF($A13="","",COUNTIFS('주문 접수 대장'!$F$4:$F$503,$A13,'주문 접수 대장'!$A$4:$A$503,"&gt;="&amp;$B$3,'주문 접수 대장'!$A$4:$A$503,"&lt;="&amp;$D$3))</f>
        <v/>
      </c>
      <c r="E13" s="16">
        <f>IF($A13="","",SUMIFS('주문 접수 대장'!$H$4:$H$503,'주문 접수 대장'!$F$4:$F$503,$A13,'주문 접수 대장'!$A$4:$A$503,"&gt;="&amp;$B$3,'주문 접수 대장'!$A$4:$A$503,"&lt;="&amp;$D$3))</f>
        <v/>
      </c>
      <c r="F13" s="26">
        <f>IF($A13="","",SUMIFS('주문 접수 대장'!$K$4:$K$503,'주문 접수 대장'!$F$4:$F$503,$A13,'주문 접수 대장'!$A$4:$A$503,"&gt;="&amp;$B$3,'주문 접수 대장'!$A$4:$A$503,"&lt;="&amp;$D$3))</f>
        <v/>
      </c>
      <c r="G13" s="16">
        <f>IF($A13="","",SUMIFS('주문 접수 대장'!$H$4:$H$503,'주문 접수 대장'!$F$4:$F$503,$A13,'주문 접수 대장'!$A$4:$A$503,"&gt;="&amp;$B$3,'주문 접수 대장'!$A$4:$A$503,"&lt;="&amp;$D$3,'주문 접수 대장'!$O$4:$O$503,"&lt;&gt;납품완료",'주문 접수 대장'!$O$4:$O$503,"&lt;&gt;취소"))</f>
        <v/>
      </c>
      <c r="H13" s="25">
        <f>IF($A13="","",COUNTIFS('주문 접수 대장'!$F$4:$F$503,$A13,'주문 접수 대장'!$A$4:$A$503,"&gt;="&amp;$B$3,'주문 접수 대장'!$A$4:$A$503,"&lt;="&amp;$D$3,'주문 접수 대장'!$P$4:$P$503,"지연"))</f>
        <v/>
      </c>
      <c r="I13" s="25">
        <f>IF($A13="","",COUNTIFS('주문 접수 대장'!$F$4:$F$503,$A13,'주문 접수 대장'!$A$4:$A$503,"&gt;="&amp;$B$3,'주문 접수 대장'!$A$4:$A$503,"&lt;="&amp;$D$3,'주문 접수 대장'!$O$4:$O$503,"취소"))</f>
        <v/>
      </c>
      <c r="J13" s="27">
        <f>IF($A13="","",IF(COUNTIFS('주문 접수 대장'!$F$4:$F$503,$A13,'주문 접수 대장'!$I$4:$I$503,"&lt;&gt;"&amp;C13)&gt;0,"단위 섞임",""))</f>
        <v/>
      </c>
    </row>
    <row r="14">
      <c r="A14" s="23">
        <f>IFERROR(INDEX('주문 접수 대장'!$F$4:$F$503,MATCH(9,'주문 접수 대장'!$S$4:$S$503,0)),"")</f>
        <v/>
      </c>
      <c r="B14" s="24">
        <f>IF($A14="","",INDEX('주문 접수 대장'!$G$4:$G$503,MATCH($A14,'주문 접수 대장'!$F$4:$F$503,0))&amp;"")</f>
        <v/>
      </c>
      <c r="C14" s="14">
        <f>IF($A14="","",INDEX('주문 접수 대장'!$I$4:$I$503,MATCH($A14,'주문 접수 대장'!$F$4:$F$503,0))&amp;"")</f>
        <v/>
      </c>
      <c r="D14" s="25">
        <f>IF($A14="","",COUNTIFS('주문 접수 대장'!$F$4:$F$503,$A14,'주문 접수 대장'!$A$4:$A$503,"&gt;="&amp;$B$3,'주문 접수 대장'!$A$4:$A$503,"&lt;="&amp;$D$3))</f>
        <v/>
      </c>
      <c r="E14" s="16">
        <f>IF($A14="","",SUMIFS('주문 접수 대장'!$H$4:$H$503,'주문 접수 대장'!$F$4:$F$503,$A14,'주문 접수 대장'!$A$4:$A$503,"&gt;="&amp;$B$3,'주문 접수 대장'!$A$4:$A$503,"&lt;="&amp;$D$3))</f>
        <v/>
      </c>
      <c r="F14" s="26">
        <f>IF($A14="","",SUMIFS('주문 접수 대장'!$K$4:$K$503,'주문 접수 대장'!$F$4:$F$503,$A14,'주문 접수 대장'!$A$4:$A$503,"&gt;="&amp;$B$3,'주문 접수 대장'!$A$4:$A$503,"&lt;="&amp;$D$3))</f>
        <v/>
      </c>
      <c r="G14" s="16">
        <f>IF($A14="","",SUMIFS('주문 접수 대장'!$H$4:$H$503,'주문 접수 대장'!$F$4:$F$503,$A14,'주문 접수 대장'!$A$4:$A$503,"&gt;="&amp;$B$3,'주문 접수 대장'!$A$4:$A$503,"&lt;="&amp;$D$3,'주문 접수 대장'!$O$4:$O$503,"&lt;&gt;납품완료",'주문 접수 대장'!$O$4:$O$503,"&lt;&gt;취소"))</f>
        <v/>
      </c>
      <c r="H14" s="25">
        <f>IF($A14="","",COUNTIFS('주문 접수 대장'!$F$4:$F$503,$A14,'주문 접수 대장'!$A$4:$A$503,"&gt;="&amp;$B$3,'주문 접수 대장'!$A$4:$A$503,"&lt;="&amp;$D$3,'주문 접수 대장'!$P$4:$P$503,"지연"))</f>
        <v/>
      </c>
      <c r="I14" s="25">
        <f>IF($A14="","",COUNTIFS('주문 접수 대장'!$F$4:$F$503,$A14,'주문 접수 대장'!$A$4:$A$503,"&gt;="&amp;$B$3,'주문 접수 대장'!$A$4:$A$503,"&lt;="&amp;$D$3,'주문 접수 대장'!$O$4:$O$503,"취소"))</f>
        <v/>
      </c>
      <c r="J14" s="27">
        <f>IF($A14="","",IF(COUNTIFS('주문 접수 대장'!$F$4:$F$503,$A14,'주문 접수 대장'!$I$4:$I$503,"&lt;&gt;"&amp;C14)&gt;0,"단위 섞임",""))</f>
        <v/>
      </c>
    </row>
    <row r="15">
      <c r="A15" s="23">
        <f>IFERROR(INDEX('주문 접수 대장'!$F$4:$F$503,MATCH(10,'주문 접수 대장'!$S$4:$S$503,0)),"")</f>
        <v/>
      </c>
      <c r="B15" s="24">
        <f>IF($A15="","",INDEX('주문 접수 대장'!$G$4:$G$503,MATCH($A15,'주문 접수 대장'!$F$4:$F$503,0))&amp;"")</f>
        <v/>
      </c>
      <c r="C15" s="14">
        <f>IF($A15="","",INDEX('주문 접수 대장'!$I$4:$I$503,MATCH($A15,'주문 접수 대장'!$F$4:$F$503,0))&amp;"")</f>
        <v/>
      </c>
      <c r="D15" s="25">
        <f>IF($A15="","",COUNTIFS('주문 접수 대장'!$F$4:$F$503,$A15,'주문 접수 대장'!$A$4:$A$503,"&gt;="&amp;$B$3,'주문 접수 대장'!$A$4:$A$503,"&lt;="&amp;$D$3))</f>
        <v/>
      </c>
      <c r="E15" s="16">
        <f>IF($A15="","",SUMIFS('주문 접수 대장'!$H$4:$H$503,'주문 접수 대장'!$F$4:$F$503,$A15,'주문 접수 대장'!$A$4:$A$503,"&gt;="&amp;$B$3,'주문 접수 대장'!$A$4:$A$503,"&lt;="&amp;$D$3))</f>
        <v/>
      </c>
      <c r="F15" s="26">
        <f>IF($A15="","",SUMIFS('주문 접수 대장'!$K$4:$K$503,'주문 접수 대장'!$F$4:$F$503,$A15,'주문 접수 대장'!$A$4:$A$503,"&gt;="&amp;$B$3,'주문 접수 대장'!$A$4:$A$503,"&lt;="&amp;$D$3))</f>
        <v/>
      </c>
      <c r="G15" s="16">
        <f>IF($A15="","",SUMIFS('주문 접수 대장'!$H$4:$H$503,'주문 접수 대장'!$F$4:$F$503,$A15,'주문 접수 대장'!$A$4:$A$503,"&gt;="&amp;$B$3,'주문 접수 대장'!$A$4:$A$503,"&lt;="&amp;$D$3,'주문 접수 대장'!$O$4:$O$503,"&lt;&gt;납품완료",'주문 접수 대장'!$O$4:$O$503,"&lt;&gt;취소"))</f>
        <v/>
      </c>
      <c r="H15" s="25">
        <f>IF($A15="","",COUNTIFS('주문 접수 대장'!$F$4:$F$503,$A15,'주문 접수 대장'!$A$4:$A$503,"&gt;="&amp;$B$3,'주문 접수 대장'!$A$4:$A$503,"&lt;="&amp;$D$3,'주문 접수 대장'!$P$4:$P$503,"지연"))</f>
        <v/>
      </c>
      <c r="I15" s="25">
        <f>IF($A15="","",COUNTIFS('주문 접수 대장'!$F$4:$F$503,$A15,'주문 접수 대장'!$A$4:$A$503,"&gt;="&amp;$B$3,'주문 접수 대장'!$A$4:$A$503,"&lt;="&amp;$D$3,'주문 접수 대장'!$O$4:$O$503,"취소"))</f>
        <v/>
      </c>
      <c r="J15" s="27">
        <f>IF($A15="","",IF(COUNTIFS('주문 접수 대장'!$F$4:$F$503,$A15,'주문 접수 대장'!$I$4:$I$503,"&lt;&gt;"&amp;C15)&gt;0,"단위 섞임",""))</f>
        <v/>
      </c>
    </row>
    <row r="16">
      <c r="A16" s="23">
        <f>IFERROR(INDEX('주문 접수 대장'!$F$4:$F$503,MATCH(11,'주문 접수 대장'!$S$4:$S$503,0)),"")</f>
        <v/>
      </c>
      <c r="B16" s="24">
        <f>IF($A16="","",INDEX('주문 접수 대장'!$G$4:$G$503,MATCH($A16,'주문 접수 대장'!$F$4:$F$503,0))&amp;"")</f>
        <v/>
      </c>
      <c r="C16" s="14">
        <f>IF($A16="","",INDEX('주문 접수 대장'!$I$4:$I$503,MATCH($A16,'주문 접수 대장'!$F$4:$F$503,0))&amp;"")</f>
        <v/>
      </c>
      <c r="D16" s="25">
        <f>IF($A16="","",COUNTIFS('주문 접수 대장'!$F$4:$F$503,$A16,'주문 접수 대장'!$A$4:$A$503,"&gt;="&amp;$B$3,'주문 접수 대장'!$A$4:$A$503,"&lt;="&amp;$D$3))</f>
        <v/>
      </c>
      <c r="E16" s="16">
        <f>IF($A16="","",SUMIFS('주문 접수 대장'!$H$4:$H$503,'주문 접수 대장'!$F$4:$F$503,$A16,'주문 접수 대장'!$A$4:$A$503,"&gt;="&amp;$B$3,'주문 접수 대장'!$A$4:$A$503,"&lt;="&amp;$D$3))</f>
        <v/>
      </c>
      <c r="F16" s="26">
        <f>IF($A16="","",SUMIFS('주문 접수 대장'!$K$4:$K$503,'주문 접수 대장'!$F$4:$F$503,$A16,'주문 접수 대장'!$A$4:$A$503,"&gt;="&amp;$B$3,'주문 접수 대장'!$A$4:$A$503,"&lt;="&amp;$D$3))</f>
        <v/>
      </c>
      <c r="G16" s="16">
        <f>IF($A16="","",SUMIFS('주문 접수 대장'!$H$4:$H$503,'주문 접수 대장'!$F$4:$F$503,$A16,'주문 접수 대장'!$A$4:$A$503,"&gt;="&amp;$B$3,'주문 접수 대장'!$A$4:$A$503,"&lt;="&amp;$D$3,'주문 접수 대장'!$O$4:$O$503,"&lt;&gt;납품완료",'주문 접수 대장'!$O$4:$O$503,"&lt;&gt;취소"))</f>
        <v/>
      </c>
      <c r="H16" s="25">
        <f>IF($A16="","",COUNTIFS('주문 접수 대장'!$F$4:$F$503,$A16,'주문 접수 대장'!$A$4:$A$503,"&gt;="&amp;$B$3,'주문 접수 대장'!$A$4:$A$503,"&lt;="&amp;$D$3,'주문 접수 대장'!$P$4:$P$503,"지연"))</f>
        <v/>
      </c>
      <c r="I16" s="25">
        <f>IF($A16="","",COUNTIFS('주문 접수 대장'!$F$4:$F$503,$A16,'주문 접수 대장'!$A$4:$A$503,"&gt;="&amp;$B$3,'주문 접수 대장'!$A$4:$A$503,"&lt;="&amp;$D$3,'주문 접수 대장'!$O$4:$O$503,"취소"))</f>
        <v/>
      </c>
      <c r="J16" s="27">
        <f>IF($A16="","",IF(COUNTIFS('주문 접수 대장'!$F$4:$F$503,$A16,'주문 접수 대장'!$I$4:$I$503,"&lt;&gt;"&amp;C16)&gt;0,"단위 섞임",""))</f>
        <v/>
      </c>
    </row>
    <row r="17">
      <c r="A17" s="23">
        <f>IFERROR(INDEX('주문 접수 대장'!$F$4:$F$503,MATCH(12,'주문 접수 대장'!$S$4:$S$503,0)),"")</f>
        <v/>
      </c>
      <c r="B17" s="24">
        <f>IF($A17="","",INDEX('주문 접수 대장'!$G$4:$G$503,MATCH($A17,'주문 접수 대장'!$F$4:$F$503,0))&amp;"")</f>
        <v/>
      </c>
      <c r="C17" s="14">
        <f>IF($A17="","",INDEX('주문 접수 대장'!$I$4:$I$503,MATCH($A17,'주문 접수 대장'!$F$4:$F$503,0))&amp;"")</f>
        <v/>
      </c>
      <c r="D17" s="25">
        <f>IF($A17="","",COUNTIFS('주문 접수 대장'!$F$4:$F$503,$A17,'주문 접수 대장'!$A$4:$A$503,"&gt;="&amp;$B$3,'주문 접수 대장'!$A$4:$A$503,"&lt;="&amp;$D$3))</f>
        <v/>
      </c>
      <c r="E17" s="16">
        <f>IF($A17="","",SUMIFS('주문 접수 대장'!$H$4:$H$503,'주문 접수 대장'!$F$4:$F$503,$A17,'주문 접수 대장'!$A$4:$A$503,"&gt;="&amp;$B$3,'주문 접수 대장'!$A$4:$A$503,"&lt;="&amp;$D$3))</f>
        <v/>
      </c>
      <c r="F17" s="26">
        <f>IF($A17="","",SUMIFS('주문 접수 대장'!$K$4:$K$503,'주문 접수 대장'!$F$4:$F$503,$A17,'주문 접수 대장'!$A$4:$A$503,"&gt;="&amp;$B$3,'주문 접수 대장'!$A$4:$A$503,"&lt;="&amp;$D$3))</f>
        <v/>
      </c>
      <c r="G17" s="16">
        <f>IF($A17="","",SUMIFS('주문 접수 대장'!$H$4:$H$503,'주문 접수 대장'!$F$4:$F$503,$A17,'주문 접수 대장'!$A$4:$A$503,"&gt;="&amp;$B$3,'주문 접수 대장'!$A$4:$A$503,"&lt;="&amp;$D$3,'주문 접수 대장'!$O$4:$O$503,"&lt;&gt;납품완료",'주문 접수 대장'!$O$4:$O$503,"&lt;&gt;취소"))</f>
        <v/>
      </c>
      <c r="H17" s="25">
        <f>IF($A17="","",COUNTIFS('주문 접수 대장'!$F$4:$F$503,$A17,'주문 접수 대장'!$A$4:$A$503,"&gt;="&amp;$B$3,'주문 접수 대장'!$A$4:$A$503,"&lt;="&amp;$D$3,'주문 접수 대장'!$P$4:$P$503,"지연"))</f>
        <v/>
      </c>
      <c r="I17" s="25">
        <f>IF($A17="","",COUNTIFS('주문 접수 대장'!$F$4:$F$503,$A17,'주문 접수 대장'!$A$4:$A$503,"&gt;="&amp;$B$3,'주문 접수 대장'!$A$4:$A$503,"&lt;="&amp;$D$3,'주문 접수 대장'!$O$4:$O$503,"취소"))</f>
        <v/>
      </c>
      <c r="J17" s="27">
        <f>IF($A17="","",IF(COUNTIFS('주문 접수 대장'!$F$4:$F$503,$A17,'주문 접수 대장'!$I$4:$I$503,"&lt;&gt;"&amp;C17)&gt;0,"단위 섞임",""))</f>
        <v/>
      </c>
    </row>
    <row r="18">
      <c r="A18" s="23">
        <f>IFERROR(INDEX('주문 접수 대장'!$F$4:$F$503,MATCH(13,'주문 접수 대장'!$S$4:$S$503,0)),"")</f>
        <v/>
      </c>
      <c r="B18" s="24">
        <f>IF($A18="","",INDEX('주문 접수 대장'!$G$4:$G$503,MATCH($A18,'주문 접수 대장'!$F$4:$F$503,0))&amp;"")</f>
        <v/>
      </c>
      <c r="C18" s="14">
        <f>IF($A18="","",INDEX('주문 접수 대장'!$I$4:$I$503,MATCH($A18,'주문 접수 대장'!$F$4:$F$503,0))&amp;"")</f>
        <v/>
      </c>
      <c r="D18" s="25">
        <f>IF($A18="","",COUNTIFS('주문 접수 대장'!$F$4:$F$503,$A18,'주문 접수 대장'!$A$4:$A$503,"&gt;="&amp;$B$3,'주문 접수 대장'!$A$4:$A$503,"&lt;="&amp;$D$3))</f>
        <v/>
      </c>
      <c r="E18" s="16">
        <f>IF($A18="","",SUMIFS('주문 접수 대장'!$H$4:$H$503,'주문 접수 대장'!$F$4:$F$503,$A18,'주문 접수 대장'!$A$4:$A$503,"&gt;="&amp;$B$3,'주문 접수 대장'!$A$4:$A$503,"&lt;="&amp;$D$3))</f>
        <v/>
      </c>
      <c r="F18" s="26">
        <f>IF($A18="","",SUMIFS('주문 접수 대장'!$K$4:$K$503,'주문 접수 대장'!$F$4:$F$503,$A18,'주문 접수 대장'!$A$4:$A$503,"&gt;="&amp;$B$3,'주문 접수 대장'!$A$4:$A$503,"&lt;="&amp;$D$3))</f>
        <v/>
      </c>
      <c r="G18" s="16">
        <f>IF($A18="","",SUMIFS('주문 접수 대장'!$H$4:$H$503,'주문 접수 대장'!$F$4:$F$503,$A18,'주문 접수 대장'!$A$4:$A$503,"&gt;="&amp;$B$3,'주문 접수 대장'!$A$4:$A$503,"&lt;="&amp;$D$3,'주문 접수 대장'!$O$4:$O$503,"&lt;&gt;납품완료",'주문 접수 대장'!$O$4:$O$503,"&lt;&gt;취소"))</f>
        <v/>
      </c>
      <c r="H18" s="25">
        <f>IF($A18="","",COUNTIFS('주문 접수 대장'!$F$4:$F$503,$A18,'주문 접수 대장'!$A$4:$A$503,"&gt;="&amp;$B$3,'주문 접수 대장'!$A$4:$A$503,"&lt;="&amp;$D$3,'주문 접수 대장'!$P$4:$P$503,"지연"))</f>
        <v/>
      </c>
      <c r="I18" s="25">
        <f>IF($A18="","",COUNTIFS('주문 접수 대장'!$F$4:$F$503,$A18,'주문 접수 대장'!$A$4:$A$503,"&gt;="&amp;$B$3,'주문 접수 대장'!$A$4:$A$503,"&lt;="&amp;$D$3,'주문 접수 대장'!$O$4:$O$503,"취소"))</f>
        <v/>
      </c>
      <c r="J18" s="27">
        <f>IF($A18="","",IF(COUNTIFS('주문 접수 대장'!$F$4:$F$503,$A18,'주문 접수 대장'!$I$4:$I$503,"&lt;&gt;"&amp;C18)&gt;0,"단위 섞임",""))</f>
        <v/>
      </c>
    </row>
    <row r="19">
      <c r="A19" s="23">
        <f>IFERROR(INDEX('주문 접수 대장'!$F$4:$F$503,MATCH(14,'주문 접수 대장'!$S$4:$S$503,0)),"")</f>
        <v/>
      </c>
      <c r="B19" s="24">
        <f>IF($A19="","",INDEX('주문 접수 대장'!$G$4:$G$503,MATCH($A19,'주문 접수 대장'!$F$4:$F$503,0))&amp;"")</f>
        <v/>
      </c>
      <c r="C19" s="14">
        <f>IF($A19="","",INDEX('주문 접수 대장'!$I$4:$I$503,MATCH($A19,'주문 접수 대장'!$F$4:$F$503,0))&amp;"")</f>
        <v/>
      </c>
      <c r="D19" s="25">
        <f>IF($A19="","",COUNTIFS('주문 접수 대장'!$F$4:$F$503,$A19,'주문 접수 대장'!$A$4:$A$503,"&gt;="&amp;$B$3,'주문 접수 대장'!$A$4:$A$503,"&lt;="&amp;$D$3))</f>
        <v/>
      </c>
      <c r="E19" s="16">
        <f>IF($A19="","",SUMIFS('주문 접수 대장'!$H$4:$H$503,'주문 접수 대장'!$F$4:$F$503,$A19,'주문 접수 대장'!$A$4:$A$503,"&gt;="&amp;$B$3,'주문 접수 대장'!$A$4:$A$503,"&lt;="&amp;$D$3))</f>
        <v/>
      </c>
      <c r="F19" s="26">
        <f>IF($A19="","",SUMIFS('주문 접수 대장'!$K$4:$K$503,'주문 접수 대장'!$F$4:$F$503,$A19,'주문 접수 대장'!$A$4:$A$503,"&gt;="&amp;$B$3,'주문 접수 대장'!$A$4:$A$503,"&lt;="&amp;$D$3))</f>
        <v/>
      </c>
      <c r="G19" s="16">
        <f>IF($A19="","",SUMIFS('주문 접수 대장'!$H$4:$H$503,'주문 접수 대장'!$F$4:$F$503,$A19,'주문 접수 대장'!$A$4:$A$503,"&gt;="&amp;$B$3,'주문 접수 대장'!$A$4:$A$503,"&lt;="&amp;$D$3,'주문 접수 대장'!$O$4:$O$503,"&lt;&gt;납품완료",'주문 접수 대장'!$O$4:$O$503,"&lt;&gt;취소"))</f>
        <v/>
      </c>
      <c r="H19" s="25">
        <f>IF($A19="","",COUNTIFS('주문 접수 대장'!$F$4:$F$503,$A19,'주문 접수 대장'!$A$4:$A$503,"&gt;="&amp;$B$3,'주문 접수 대장'!$A$4:$A$503,"&lt;="&amp;$D$3,'주문 접수 대장'!$P$4:$P$503,"지연"))</f>
        <v/>
      </c>
      <c r="I19" s="25">
        <f>IF($A19="","",COUNTIFS('주문 접수 대장'!$F$4:$F$503,$A19,'주문 접수 대장'!$A$4:$A$503,"&gt;="&amp;$B$3,'주문 접수 대장'!$A$4:$A$503,"&lt;="&amp;$D$3,'주문 접수 대장'!$O$4:$O$503,"취소"))</f>
        <v/>
      </c>
      <c r="J19" s="27">
        <f>IF($A19="","",IF(COUNTIFS('주문 접수 대장'!$F$4:$F$503,$A19,'주문 접수 대장'!$I$4:$I$503,"&lt;&gt;"&amp;C19)&gt;0,"단위 섞임",""))</f>
        <v/>
      </c>
    </row>
    <row r="20">
      <c r="A20" s="23">
        <f>IFERROR(INDEX('주문 접수 대장'!$F$4:$F$503,MATCH(15,'주문 접수 대장'!$S$4:$S$503,0)),"")</f>
        <v/>
      </c>
      <c r="B20" s="24">
        <f>IF($A20="","",INDEX('주문 접수 대장'!$G$4:$G$503,MATCH($A20,'주문 접수 대장'!$F$4:$F$503,0))&amp;"")</f>
        <v/>
      </c>
      <c r="C20" s="14">
        <f>IF($A20="","",INDEX('주문 접수 대장'!$I$4:$I$503,MATCH($A20,'주문 접수 대장'!$F$4:$F$503,0))&amp;"")</f>
        <v/>
      </c>
      <c r="D20" s="25">
        <f>IF($A20="","",COUNTIFS('주문 접수 대장'!$F$4:$F$503,$A20,'주문 접수 대장'!$A$4:$A$503,"&gt;="&amp;$B$3,'주문 접수 대장'!$A$4:$A$503,"&lt;="&amp;$D$3))</f>
        <v/>
      </c>
      <c r="E20" s="16">
        <f>IF($A20="","",SUMIFS('주문 접수 대장'!$H$4:$H$503,'주문 접수 대장'!$F$4:$F$503,$A20,'주문 접수 대장'!$A$4:$A$503,"&gt;="&amp;$B$3,'주문 접수 대장'!$A$4:$A$503,"&lt;="&amp;$D$3))</f>
        <v/>
      </c>
      <c r="F20" s="26">
        <f>IF($A20="","",SUMIFS('주문 접수 대장'!$K$4:$K$503,'주문 접수 대장'!$F$4:$F$503,$A20,'주문 접수 대장'!$A$4:$A$503,"&gt;="&amp;$B$3,'주문 접수 대장'!$A$4:$A$503,"&lt;="&amp;$D$3))</f>
        <v/>
      </c>
      <c r="G20" s="16">
        <f>IF($A20="","",SUMIFS('주문 접수 대장'!$H$4:$H$503,'주문 접수 대장'!$F$4:$F$503,$A20,'주문 접수 대장'!$A$4:$A$503,"&gt;="&amp;$B$3,'주문 접수 대장'!$A$4:$A$503,"&lt;="&amp;$D$3,'주문 접수 대장'!$O$4:$O$503,"&lt;&gt;납품완료",'주문 접수 대장'!$O$4:$O$503,"&lt;&gt;취소"))</f>
        <v/>
      </c>
      <c r="H20" s="25">
        <f>IF($A20="","",COUNTIFS('주문 접수 대장'!$F$4:$F$503,$A20,'주문 접수 대장'!$A$4:$A$503,"&gt;="&amp;$B$3,'주문 접수 대장'!$A$4:$A$503,"&lt;="&amp;$D$3,'주문 접수 대장'!$P$4:$P$503,"지연"))</f>
        <v/>
      </c>
      <c r="I20" s="25">
        <f>IF($A20="","",COUNTIFS('주문 접수 대장'!$F$4:$F$503,$A20,'주문 접수 대장'!$A$4:$A$503,"&gt;="&amp;$B$3,'주문 접수 대장'!$A$4:$A$503,"&lt;="&amp;$D$3,'주문 접수 대장'!$O$4:$O$503,"취소"))</f>
        <v/>
      </c>
      <c r="J20" s="27">
        <f>IF($A20="","",IF(COUNTIFS('주문 접수 대장'!$F$4:$F$503,$A20,'주문 접수 대장'!$I$4:$I$503,"&lt;&gt;"&amp;C20)&gt;0,"단위 섞임",""))</f>
        <v/>
      </c>
    </row>
    <row r="21">
      <c r="A21" s="23">
        <f>IFERROR(INDEX('주문 접수 대장'!$F$4:$F$503,MATCH(16,'주문 접수 대장'!$S$4:$S$503,0)),"")</f>
        <v/>
      </c>
      <c r="B21" s="24">
        <f>IF($A21="","",INDEX('주문 접수 대장'!$G$4:$G$503,MATCH($A21,'주문 접수 대장'!$F$4:$F$503,0))&amp;"")</f>
        <v/>
      </c>
      <c r="C21" s="14">
        <f>IF($A21="","",INDEX('주문 접수 대장'!$I$4:$I$503,MATCH($A21,'주문 접수 대장'!$F$4:$F$503,0))&amp;"")</f>
        <v/>
      </c>
      <c r="D21" s="25">
        <f>IF($A21="","",COUNTIFS('주문 접수 대장'!$F$4:$F$503,$A21,'주문 접수 대장'!$A$4:$A$503,"&gt;="&amp;$B$3,'주문 접수 대장'!$A$4:$A$503,"&lt;="&amp;$D$3))</f>
        <v/>
      </c>
      <c r="E21" s="16">
        <f>IF($A21="","",SUMIFS('주문 접수 대장'!$H$4:$H$503,'주문 접수 대장'!$F$4:$F$503,$A21,'주문 접수 대장'!$A$4:$A$503,"&gt;="&amp;$B$3,'주문 접수 대장'!$A$4:$A$503,"&lt;="&amp;$D$3))</f>
        <v/>
      </c>
      <c r="F21" s="26">
        <f>IF($A21="","",SUMIFS('주문 접수 대장'!$K$4:$K$503,'주문 접수 대장'!$F$4:$F$503,$A21,'주문 접수 대장'!$A$4:$A$503,"&gt;="&amp;$B$3,'주문 접수 대장'!$A$4:$A$503,"&lt;="&amp;$D$3))</f>
        <v/>
      </c>
      <c r="G21" s="16">
        <f>IF($A21="","",SUMIFS('주문 접수 대장'!$H$4:$H$503,'주문 접수 대장'!$F$4:$F$503,$A21,'주문 접수 대장'!$A$4:$A$503,"&gt;="&amp;$B$3,'주문 접수 대장'!$A$4:$A$503,"&lt;="&amp;$D$3,'주문 접수 대장'!$O$4:$O$503,"&lt;&gt;납품완료",'주문 접수 대장'!$O$4:$O$503,"&lt;&gt;취소"))</f>
        <v/>
      </c>
      <c r="H21" s="25">
        <f>IF($A21="","",COUNTIFS('주문 접수 대장'!$F$4:$F$503,$A21,'주문 접수 대장'!$A$4:$A$503,"&gt;="&amp;$B$3,'주문 접수 대장'!$A$4:$A$503,"&lt;="&amp;$D$3,'주문 접수 대장'!$P$4:$P$503,"지연"))</f>
        <v/>
      </c>
      <c r="I21" s="25">
        <f>IF($A21="","",COUNTIFS('주문 접수 대장'!$F$4:$F$503,$A21,'주문 접수 대장'!$A$4:$A$503,"&gt;="&amp;$B$3,'주문 접수 대장'!$A$4:$A$503,"&lt;="&amp;$D$3,'주문 접수 대장'!$O$4:$O$503,"취소"))</f>
        <v/>
      </c>
      <c r="J21" s="27">
        <f>IF($A21="","",IF(COUNTIFS('주문 접수 대장'!$F$4:$F$503,$A21,'주문 접수 대장'!$I$4:$I$503,"&lt;&gt;"&amp;C21)&gt;0,"단위 섞임",""))</f>
        <v/>
      </c>
    </row>
    <row r="22">
      <c r="A22" s="23">
        <f>IFERROR(INDEX('주문 접수 대장'!$F$4:$F$503,MATCH(17,'주문 접수 대장'!$S$4:$S$503,0)),"")</f>
        <v/>
      </c>
      <c r="B22" s="24">
        <f>IF($A22="","",INDEX('주문 접수 대장'!$G$4:$G$503,MATCH($A22,'주문 접수 대장'!$F$4:$F$503,0))&amp;"")</f>
        <v/>
      </c>
      <c r="C22" s="14">
        <f>IF($A22="","",INDEX('주문 접수 대장'!$I$4:$I$503,MATCH($A22,'주문 접수 대장'!$F$4:$F$503,0))&amp;"")</f>
        <v/>
      </c>
      <c r="D22" s="25">
        <f>IF($A22="","",COUNTIFS('주문 접수 대장'!$F$4:$F$503,$A22,'주문 접수 대장'!$A$4:$A$503,"&gt;="&amp;$B$3,'주문 접수 대장'!$A$4:$A$503,"&lt;="&amp;$D$3))</f>
        <v/>
      </c>
      <c r="E22" s="16">
        <f>IF($A22="","",SUMIFS('주문 접수 대장'!$H$4:$H$503,'주문 접수 대장'!$F$4:$F$503,$A22,'주문 접수 대장'!$A$4:$A$503,"&gt;="&amp;$B$3,'주문 접수 대장'!$A$4:$A$503,"&lt;="&amp;$D$3))</f>
        <v/>
      </c>
      <c r="F22" s="26">
        <f>IF($A22="","",SUMIFS('주문 접수 대장'!$K$4:$K$503,'주문 접수 대장'!$F$4:$F$503,$A22,'주문 접수 대장'!$A$4:$A$503,"&gt;="&amp;$B$3,'주문 접수 대장'!$A$4:$A$503,"&lt;="&amp;$D$3))</f>
        <v/>
      </c>
      <c r="G22" s="16">
        <f>IF($A22="","",SUMIFS('주문 접수 대장'!$H$4:$H$503,'주문 접수 대장'!$F$4:$F$503,$A22,'주문 접수 대장'!$A$4:$A$503,"&gt;="&amp;$B$3,'주문 접수 대장'!$A$4:$A$503,"&lt;="&amp;$D$3,'주문 접수 대장'!$O$4:$O$503,"&lt;&gt;납품완료",'주문 접수 대장'!$O$4:$O$503,"&lt;&gt;취소"))</f>
        <v/>
      </c>
      <c r="H22" s="25">
        <f>IF($A22="","",COUNTIFS('주문 접수 대장'!$F$4:$F$503,$A22,'주문 접수 대장'!$A$4:$A$503,"&gt;="&amp;$B$3,'주문 접수 대장'!$A$4:$A$503,"&lt;="&amp;$D$3,'주문 접수 대장'!$P$4:$P$503,"지연"))</f>
        <v/>
      </c>
      <c r="I22" s="25">
        <f>IF($A22="","",COUNTIFS('주문 접수 대장'!$F$4:$F$503,$A22,'주문 접수 대장'!$A$4:$A$503,"&gt;="&amp;$B$3,'주문 접수 대장'!$A$4:$A$503,"&lt;="&amp;$D$3,'주문 접수 대장'!$O$4:$O$503,"취소"))</f>
        <v/>
      </c>
      <c r="J22" s="27">
        <f>IF($A22="","",IF(COUNTIFS('주문 접수 대장'!$F$4:$F$503,$A22,'주문 접수 대장'!$I$4:$I$503,"&lt;&gt;"&amp;C22)&gt;0,"단위 섞임",""))</f>
        <v/>
      </c>
    </row>
    <row r="23">
      <c r="A23" s="23">
        <f>IFERROR(INDEX('주문 접수 대장'!$F$4:$F$503,MATCH(18,'주문 접수 대장'!$S$4:$S$503,0)),"")</f>
        <v/>
      </c>
      <c r="B23" s="24">
        <f>IF($A23="","",INDEX('주문 접수 대장'!$G$4:$G$503,MATCH($A23,'주문 접수 대장'!$F$4:$F$503,0))&amp;"")</f>
        <v/>
      </c>
      <c r="C23" s="14">
        <f>IF($A23="","",INDEX('주문 접수 대장'!$I$4:$I$503,MATCH($A23,'주문 접수 대장'!$F$4:$F$503,0))&amp;"")</f>
        <v/>
      </c>
      <c r="D23" s="25">
        <f>IF($A23="","",COUNTIFS('주문 접수 대장'!$F$4:$F$503,$A23,'주문 접수 대장'!$A$4:$A$503,"&gt;="&amp;$B$3,'주문 접수 대장'!$A$4:$A$503,"&lt;="&amp;$D$3))</f>
        <v/>
      </c>
      <c r="E23" s="16">
        <f>IF($A23="","",SUMIFS('주문 접수 대장'!$H$4:$H$503,'주문 접수 대장'!$F$4:$F$503,$A23,'주문 접수 대장'!$A$4:$A$503,"&gt;="&amp;$B$3,'주문 접수 대장'!$A$4:$A$503,"&lt;="&amp;$D$3))</f>
        <v/>
      </c>
      <c r="F23" s="26">
        <f>IF($A23="","",SUMIFS('주문 접수 대장'!$K$4:$K$503,'주문 접수 대장'!$F$4:$F$503,$A23,'주문 접수 대장'!$A$4:$A$503,"&gt;="&amp;$B$3,'주문 접수 대장'!$A$4:$A$503,"&lt;="&amp;$D$3))</f>
        <v/>
      </c>
      <c r="G23" s="16">
        <f>IF($A23="","",SUMIFS('주문 접수 대장'!$H$4:$H$503,'주문 접수 대장'!$F$4:$F$503,$A23,'주문 접수 대장'!$A$4:$A$503,"&gt;="&amp;$B$3,'주문 접수 대장'!$A$4:$A$503,"&lt;="&amp;$D$3,'주문 접수 대장'!$O$4:$O$503,"&lt;&gt;납품완료",'주문 접수 대장'!$O$4:$O$503,"&lt;&gt;취소"))</f>
        <v/>
      </c>
      <c r="H23" s="25">
        <f>IF($A23="","",COUNTIFS('주문 접수 대장'!$F$4:$F$503,$A23,'주문 접수 대장'!$A$4:$A$503,"&gt;="&amp;$B$3,'주문 접수 대장'!$A$4:$A$503,"&lt;="&amp;$D$3,'주문 접수 대장'!$P$4:$P$503,"지연"))</f>
        <v/>
      </c>
      <c r="I23" s="25">
        <f>IF($A23="","",COUNTIFS('주문 접수 대장'!$F$4:$F$503,$A23,'주문 접수 대장'!$A$4:$A$503,"&gt;="&amp;$B$3,'주문 접수 대장'!$A$4:$A$503,"&lt;="&amp;$D$3,'주문 접수 대장'!$O$4:$O$503,"취소"))</f>
        <v/>
      </c>
      <c r="J23" s="27">
        <f>IF($A23="","",IF(COUNTIFS('주문 접수 대장'!$F$4:$F$503,$A23,'주문 접수 대장'!$I$4:$I$503,"&lt;&gt;"&amp;C23)&gt;0,"단위 섞임",""))</f>
        <v/>
      </c>
    </row>
    <row r="24">
      <c r="A24" s="23">
        <f>IFERROR(INDEX('주문 접수 대장'!$F$4:$F$503,MATCH(19,'주문 접수 대장'!$S$4:$S$503,0)),"")</f>
        <v/>
      </c>
      <c r="B24" s="24">
        <f>IF($A24="","",INDEX('주문 접수 대장'!$G$4:$G$503,MATCH($A24,'주문 접수 대장'!$F$4:$F$503,0))&amp;"")</f>
        <v/>
      </c>
      <c r="C24" s="14">
        <f>IF($A24="","",INDEX('주문 접수 대장'!$I$4:$I$503,MATCH($A24,'주문 접수 대장'!$F$4:$F$503,0))&amp;"")</f>
        <v/>
      </c>
      <c r="D24" s="25">
        <f>IF($A24="","",COUNTIFS('주문 접수 대장'!$F$4:$F$503,$A24,'주문 접수 대장'!$A$4:$A$503,"&gt;="&amp;$B$3,'주문 접수 대장'!$A$4:$A$503,"&lt;="&amp;$D$3))</f>
        <v/>
      </c>
      <c r="E24" s="16">
        <f>IF($A24="","",SUMIFS('주문 접수 대장'!$H$4:$H$503,'주문 접수 대장'!$F$4:$F$503,$A24,'주문 접수 대장'!$A$4:$A$503,"&gt;="&amp;$B$3,'주문 접수 대장'!$A$4:$A$503,"&lt;="&amp;$D$3))</f>
        <v/>
      </c>
      <c r="F24" s="26">
        <f>IF($A24="","",SUMIFS('주문 접수 대장'!$K$4:$K$503,'주문 접수 대장'!$F$4:$F$503,$A24,'주문 접수 대장'!$A$4:$A$503,"&gt;="&amp;$B$3,'주문 접수 대장'!$A$4:$A$503,"&lt;="&amp;$D$3))</f>
        <v/>
      </c>
      <c r="G24" s="16">
        <f>IF($A24="","",SUMIFS('주문 접수 대장'!$H$4:$H$503,'주문 접수 대장'!$F$4:$F$503,$A24,'주문 접수 대장'!$A$4:$A$503,"&gt;="&amp;$B$3,'주문 접수 대장'!$A$4:$A$503,"&lt;="&amp;$D$3,'주문 접수 대장'!$O$4:$O$503,"&lt;&gt;납품완료",'주문 접수 대장'!$O$4:$O$503,"&lt;&gt;취소"))</f>
        <v/>
      </c>
      <c r="H24" s="25">
        <f>IF($A24="","",COUNTIFS('주문 접수 대장'!$F$4:$F$503,$A24,'주문 접수 대장'!$A$4:$A$503,"&gt;="&amp;$B$3,'주문 접수 대장'!$A$4:$A$503,"&lt;="&amp;$D$3,'주문 접수 대장'!$P$4:$P$503,"지연"))</f>
        <v/>
      </c>
      <c r="I24" s="25">
        <f>IF($A24="","",COUNTIFS('주문 접수 대장'!$F$4:$F$503,$A24,'주문 접수 대장'!$A$4:$A$503,"&gt;="&amp;$B$3,'주문 접수 대장'!$A$4:$A$503,"&lt;="&amp;$D$3,'주문 접수 대장'!$O$4:$O$503,"취소"))</f>
        <v/>
      </c>
      <c r="J24" s="27">
        <f>IF($A24="","",IF(COUNTIFS('주문 접수 대장'!$F$4:$F$503,$A24,'주문 접수 대장'!$I$4:$I$503,"&lt;&gt;"&amp;C24)&gt;0,"단위 섞임",""))</f>
        <v/>
      </c>
    </row>
    <row r="25">
      <c r="A25" s="23">
        <f>IFERROR(INDEX('주문 접수 대장'!$F$4:$F$503,MATCH(20,'주문 접수 대장'!$S$4:$S$503,0)),"")</f>
        <v/>
      </c>
      <c r="B25" s="24">
        <f>IF($A25="","",INDEX('주문 접수 대장'!$G$4:$G$503,MATCH($A25,'주문 접수 대장'!$F$4:$F$503,0))&amp;"")</f>
        <v/>
      </c>
      <c r="C25" s="14">
        <f>IF($A25="","",INDEX('주문 접수 대장'!$I$4:$I$503,MATCH($A25,'주문 접수 대장'!$F$4:$F$503,0))&amp;"")</f>
        <v/>
      </c>
      <c r="D25" s="25">
        <f>IF($A25="","",COUNTIFS('주문 접수 대장'!$F$4:$F$503,$A25,'주문 접수 대장'!$A$4:$A$503,"&gt;="&amp;$B$3,'주문 접수 대장'!$A$4:$A$503,"&lt;="&amp;$D$3))</f>
        <v/>
      </c>
      <c r="E25" s="16">
        <f>IF($A25="","",SUMIFS('주문 접수 대장'!$H$4:$H$503,'주문 접수 대장'!$F$4:$F$503,$A25,'주문 접수 대장'!$A$4:$A$503,"&gt;="&amp;$B$3,'주문 접수 대장'!$A$4:$A$503,"&lt;="&amp;$D$3))</f>
        <v/>
      </c>
      <c r="F25" s="26">
        <f>IF($A25="","",SUMIFS('주문 접수 대장'!$K$4:$K$503,'주문 접수 대장'!$F$4:$F$503,$A25,'주문 접수 대장'!$A$4:$A$503,"&gt;="&amp;$B$3,'주문 접수 대장'!$A$4:$A$503,"&lt;="&amp;$D$3))</f>
        <v/>
      </c>
      <c r="G25" s="16">
        <f>IF($A25="","",SUMIFS('주문 접수 대장'!$H$4:$H$503,'주문 접수 대장'!$F$4:$F$503,$A25,'주문 접수 대장'!$A$4:$A$503,"&gt;="&amp;$B$3,'주문 접수 대장'!$A$4:$A$503,"&lt;="&amp;$D$3,'주문 접수 대장'!$O$4:$O$503,"&lt;&gt;납품완료",'주문 접수 대장'!$O$4:$O$503,"&lt;&gt;취소"))</f>
        <v/>
      </c>
      <c r="H25" s="25">
        <f>IF($A25="","",COUNTIFS('주문 접수 대장'!$F$4:$F$503,$A25,'주문 접수 대장'!$A$4:$A$503,"&gt;="&amp;$B$3,'주문 접수 대장'!$A$4:$A$503,"&lt;="&amp;$D$3,'주문 접수 대장'!$P$4:$P$503,"지연"))</f>
        <v/>
      </c>
      <c r="I25" s="25">
        <f>IF($A25="","",COUNTIFS('주문 접수 대장'!$F$4:$F$503,$A25,'주문 접수 대장'!$A$4:$A$503,"&gt;="&amp;$B$3,'주문 접수 대장'!$A$4:$A$503,"&lt;="&amp;$D$3,'주문 접수 대장'!$O$4:$O$503,"취소"))</f>
        <v/>
      </c>
      <c r="J25" s="27">
        <f>IF($A25="","",IF(COUNTIFS('주문 접수 대장'!$F$4:$F$503,$A25,'주문 접수 대장'!$I$4:$I$503,"&lt;&gt;"&amp;C25)&gt;0,"단위 섞임",""))</f>
        <v/>
      </c>
    </row>
    <row r="26">
      <c r="A26" s="23">
        <f>IFERROR(INDEX('주문 접수 대장'!$F$4:$F$503,MATCH(21,'주문 접수 대장'!$S$4:$S$503,0)),"")</f>
        <v/>
      </c>
      <c r="B26" s="24">
        <f>IF($A26="","",INDEX('주문 접수 대장'!$G$4:$G$503,MATCH($A26,'주문 접수 대장'!$F$4:$F$503,0))&amp;"")</f>
        <v/>
      </c>
      <c r="C26" s="14">
        <f>IF($A26="","",INDEX('주문 접수 대장'!$I$4:$I$503,MATCH($A26,'주문 접수 대장'!$F$4:$F$503,0))&amp;"")</f>
        <v/>
      </c>
      <c r="D26" s="25">
        <f>IF($A26="","",COUNTIFS('주문 접수 대장'!$F$4:$F$503,$A26,'주문 접수 대장'!$A$4:$A$503,"&gt;="&amp;$B$3,'주문 접수 대장'!$A$4:$A$503,"&lt;="&amp;$D$3))</f>
        <v/>
      </c>
      <c r="E26" s="16">
        <f>IF($A26="","",SUMIFS('주문 접수 대장'!$H$4:$H$503,'주문 접수 대장'!$F$4:$F$503,$A26,'주문 접수 대장'!$A$4:$A$503,"&gt;="&amp;$B$3,'주문 접수 대장'!$A$4:$A$503,"&lt;="&amp;$D$3))</f>
        <v/>
      </c>
      <c r="F26" s="26">
        <f>IF($A26="","",SUMIFS('주문 접수 대장'!$K$4:$K$503,'주문 접수 대장'!$F$4:$F$503,$A26,'주문 접수 대장'!$A$4:$A$503,"&gt;="&amp;$B$3,'주문 접수 대장'!$A$4:$A$503,"&lt;="&amp;$D$3))</f>
        <v/>
      </c>
      <c r="G26" s="16">
        <f>IF($A26="","",SUMIFS('주문 접수 대장'!$H$4:$H$503,'주문 접수 대장'!$F$4:$F$503,$A26,'주문 접수 대장'!$A$4:$A$503,"&gt;="&amp;$B$3,'주문 접수 대장'!$A$4:$A$503,"&lt;="&amp;$D$3,'주문 접수 대장'!$O$4:$O$503,"&lt;&gt;납품완료",'주문 접수 대장'!$O$4:$O$503,"&lt;&gt;취소"))</f>
        <v/>
      </c>
      <c r="H26" s="25">
        <f>IF($A26="","",COUNTIFS('주문 접수 대장'!$F$4:$F$503,$A26,'주문 접수 대장'!$A$4:$A$503,"&gt;="&amp;$B$3,'주문 접수 대장'!$A$4:$A$503,"&lt;="&amp;$D$3,'주문 접수 대장'!$P$4:$P$503,"지연"))</f>
        <v/>
      </c>
      <c r="I26" s="25">
        <f>IF($A26="","",COUNTIFS('주문 접수 대장'!$F$4:$F$503,$A26,'주문 접수 대장'!$A$4:$A$503,"&gt;="&amp;$B$3,'주문 접수 대장'!$A$4:$A$503,"&lt;="&amp;$D$3,'주문 접수 대장'!$O$4:$O$503,"취소"))</f>
        <v/>
      </c>
      <c r="J26" s="27">
        <f>IF($A26="","",IF(COUNTIFS('주문 접수 대장'!$F$4:$F$503,$A26,'주문 접수 대장'!$I$4:$I$503,"&lt;&gt;"&amp;C26)&gt;0,"단위 섞임",""))</f>
        <v/>
      </c>
    </row>
    <row r="27">
      <c r="A27" s="23">
        <f>IFERROR(INDEX('주문 접수 대장'!$F$4:$F$503,MATCH(22,'주문 접수 대장'!$S$4:$S$503,0)),"")</f>
        <v/>
      </c>
      <c r="B27" s="24">
        <f>IF($A27="","",INDEX('주문 접수 대장'!$G$4:$G$503,MATCH($A27,'주문 접수 대장'!$F$4:$F$503,0))&amp;"")</f>
        <v/>
      </c>
      <c r="C27" s="14">
        <f>IF($A27="","",INDEX('주문 접수 대장'!$I$4:$I$503,MATCH($A27,'주문 접수 대장'!$F$4:$F$503,0))&amp;"")</f>
        <v/>
      </c>
      <c r="D27" s="25">
        <f>IF($A27="","",COUNTIFS('주문 접수 대장'!$F$4:$F$503,$A27,'주문 접수 대장'!$A$4:$A$503,"&gt;="&amp;$B$3,'주문 접수 대장'!$A$4:$A$503,"&lt;="&amp;$D$3))</f>
        <v/>
      </c>
      <c r="E27" s="16">
        <f>IF($A27="","",SUMIFS('주문 접수 대장'!$H$4:$H$503,'주문 접수 대장'!$F$4:$F$503,$A27,'주문 접수 대장'!$A$4:$A$503,"&gt;="&amp;$B$3,'주문 접수 대장'!$A$4:$A$503,"&lt;="&amp;$D$3))</f>
        <v/>
      </c>
      <c r="F27" s="26">
        <f>IF($A27="","",SUMIFS('주문 접수 대장'!$K$4:$K$503,'주문 접수 대장'!$F$4:$F$503,$A27,'주문 접수 대장'!$A$4:$A$503,"&gt;="&amp;$B$3,'주문 접수 대장'!$A$4:$A$503,"&lt;="&amp;$D$3))</f>
        <v/>
      </c>
      <c r="G27" s="16">
        <f>IF($A27="","",SUMIFS('주문 접수 대장'!$H$4:$H$503,'주문 접수 대장'!$F$4:$F$503,$A27,'주문 접수 대장'!$A$4:$A$503,"&gt;="&amp;$B$3,'주문 접수 대장'!$A$4:$A$503,"&lt;="&amp;$D$3,'주문 접수 대장'!$O$4:$O$503,"&lt;&gt;납품완료",'주문 접수 대장'!$O$4:$O$503,"&lt;&gt;취소"))</f>
        <v/>
      </c>
      <c r="H27" s="25">
        <f>IF($A27="","",COUNTIFS('주문 접수 대장'!$F$4:$F$503,$A27,'주문 접수 대장'!$A$4:$A$503,"&gt;="&amp;$B$3,'주문 접수 대장'!$A$4:$A$503,"&lt;="&amp;$D$3,'주문 접수 대장'!$P$4:$P$503,"지연"))</f>
        <v/>
      </c>
      <c r="I27" s="25">
        <f>IF($A27="","",COUNTIFS('주문 접수 대장'!$F$4:$F$503,$A27,'주문 접수 대장'!$A$4:$A$503,"&gt;="&amp;$B$3,'주문 접수 대장'!$A$4:$A$503,"&lt;="&amp;$D$3,'주문 접수 대장'!$O$4:$O$503,"취소"))</f>
        <v/>
      </c>
      <c r="J27" s="27">
        <f>IF($A27="","",IF(COUNTIFS('주문 접수 대장'!$F$4:$F$503,$A27,'주문 접수 대장'!$I$4:$I$503,"&lt;&gt;"&amp;C27)&gt;0,"단위 섞임",""))</f>
        <v/>
      </c>
    </row>
    <row r="28">
      <c r="A28" s="23">
        <f>IFERROR(INDEX('주문 접수 대장'!$F$4:$F$503,MATCH(23,'주문 접수 대장'!$S$4:$S$503,0)),"")</f>
        <v/>
      </c>
      <c r="B28" s="24">
        <f>IF($A28="","",INDEX('주문 접수 대장'!$G$4:$G$503,MATCH($A28,'주문 접수 대장'!$F$4:$F$503,0))&amp;"")</f>
        <v/>
      </c>
      <c r="C28" s="14">
        <f>IF($A28="","",INDEX('주문 접수 대장'!$I$4:$I$503,MATCH($A28,'주문 접수 대장'!$F$4:$F$503,0))&amp;"")</f>
        <v/>
      </c>
      <c r="D28" s="25">
        <f>IF($A28="","",COUNTIFS('주문 접수 대장'!$F$4:$F$503,$A28,'주문 접수 대장'!$A$4:$A$503,"&gt;="&amp;$B$3,'주문 접수 대장'!$A$4:$A$503,"&lt;="&amp;$D$3))</f>
        <v/>
      </c>
      <c r="E28" s="16">
        <f>IF($A28="","",SUMIFS('주문 접수 대장'!$H$4:$H$503,'주문 접수 대장'!$F$4:$F$503,$A28,'주문 접수 대장'!$A$4:$A$503,"&gt;="&amp;$B$3,'주문 접수 대장'!$A$4:$A$503,"&lt;="&amp;$D$3))</f>
        <v/>
      </c>
      <c r="F28" s="26">
        <f>IF($A28="","",SUMIFS('주문 접수 대장'!$K$4:$K$503,'주문 접수 대장'!$F$4:$F$503,$A28,'주문 접수 대장'!$A$4:$A$503,"&gt;="&amp;$B$3,'주문 접수 대장'!$A$4:$A$503,"&lt;="&amp;$D$3))</f>
        <v/>
      </c>
      <c r="G28" s="16">
        <f>IF($A28="","",SUMIFS('주문 접수 대장'!$H$4:$H$503,'주문 접수 대장'!$F$4:$F$503,$A28,'주문 접수 대장'!$A$4:$A$503,"&gt;="&amp;$B$3,'주문 접수 대장'!$A$4:$A$503,"&lt;="&amp;$D$3,'주문 접수 대장'!$O$4:$O$503,"&lt;&gt;납품완료",'주문 접수 대장'!$O$4:$O$503,"&lt;&gt;취소"))</f>
        <v/>
      </c>
      <c r="H28" s="25">
        <f>IF($A28="","",COUNTIFS('주문 접수 대장'!$F$4:$F$503,$A28,'주문 접수 대장'!$A$4:$A$503,"&gt;="&amp;$B$3,'주문 접수 대장'!$A$4:$A$503,"&lt;="&amp;$D$3,'주문 접수 대장'!$P$4:$P$503,"지연"))</f>
        <v/>
      </c>
      <c r="I28" s="25">
        <f>IF($A28="","",COUNTIFS('주문 접수 대장'!$F$4:$F$503,$A28,'주문 접수 대장'!$A$4:$A$503,"&gt;="&amp;$B$3,'주문 접수 대장'!$A$4:$A$503,"&lt;="&amp;$D$3,'주문 접수 대장'!$O$4:$O$503,"취소"))</f>
        <v/>
      </c>
      <c r="J28" s="27">
        <f>IF($A28="","",IF(COUNTIFS('주문 접수 대장'!$F$4:$F$503,$A28,'주문 접수 대장'!$I$4:$I$503,"&lt;&gt;"&amp;C28)&gt;0,"단위 섞임",""))</f>
        <v/>
      </c>
    </row>
    <row r="29">
      <c r="A29" s="23">
        <f>IFERROR(INDEX('주문 접수 대장'!$F$4:$F$503,MATCH(24,'주문 접수 대장'!$S$4:$S$503,0)),"")</f>
        <v/>
      </c>
      <c r="B29" s="24">
        <f>IF($A29="","",INDEX('주문 접수 대장'!$G$4:$G$503,MATCH($A29,'주문 접수 대장'!$F$4:$F$503,0))&amp;"")</f>
        <v/>
      </c>
      <c r="C29" s="14">
        <f>IF($A29="","",INDEX('주문 접수 대장'!$I$4:$I$503,MATCH($A29,'주문 접수 대장'!$F$4:$F$503,0))&amp;"")</f>
        <v/>
      </c>
      <c r="D29" s="25">
        <f>IF($A29="","",COUNTIFS('주문 접수 대장'!$F$4:$F$503,$A29,'주문 접수 대장'!$A$4:$A$503,"&gt;="&amp;$B$3,'주문 접수 대장'!$A$4:$A$503,"&lt;="&amp;$D$3))</f>
        <v/>
      </c>
      <c r="E29" s="16">
        <f>IF($A29="","",SUMIFS('주문 접수 대장'!$H$4:$H$503,'주문 접수 대장'!$F$4:$F$503,$A29,'주문 접수 대장'!$A$4:$A$503,"&gt;="&amp;$B$3,'주문 접수 대장'!$A$4:$A$503,"&lt;="&amp;$D$3))</f>
        <v/>
      </c>
      <c r="F29" s="26">
        <f>IF($A29="","",SUMIFS('주문 접수 대장'!$K$4:$K$503,'주문 접수 대장'!$F$4:$F$503,$A29,'주문 접수 대장'!$A$4:$A$503,"&gt;="&amp;$B$3,'주문 접수 대장'!$A$4:$A$503,"&lt;="&amp;$D$3))</f>
        <v/>
      </c>
      <c r="G29" s="16">
        <f>IF($A29="","",SUMIFS('주문 접수 대장'!$H$4:$H$503,'주문 접수 대장'!$F$4:$F$503,$A29,'주문 접수 대장'!$A$4:$A$503,"&gt;="&amp;$B$3,'주문 접수 대장'!$A$4:$A$503,"&lt;="&amp;$D$3,'주문 접수 대장'!$O$4:$O$503,"&lt;&gt;납품완료",'주문 접수 대장'!$O$4:$O$503,"&lt;&gt;취소"))</f>
        <v/>
      </c>
      <c r="H29" s="25">
        <f>IF($A29="","",COUNTIFS('주문 접수 대장'!$F$4:$F$503,$A29,'주문 접수 대장'!$A$4:$A$503,"&gt;="&amp;$B$3,'주문 접수 대장'!$A$4:$A$503,"&lt;="&amp;$D$3,'주문 접수 대장'!$P$4:$P$503,"지연"))</f>
        <v/>
      </c>
      <c r="I29" s="25">
        <f>IF($A29="","",COUNTIFS('주문 접수 대장'!$F$4:$F$503,$A29,'주문 접수 대장'!$A$4:$A$503,"&gt;="&amp;$B$3,'주문 접수 대장'!$A$4:$A$503,"&lt;="&amp;$D$3,'주문 접수 대장'!$O$4:$O$503,"취소"))</f>
        <v/>
      </c>
      <c r="J29" s="27">
        <f>IF($A29="","",IF(COUNTIFS('주문 접수 대장'!$F$4:$F$503,$A29,'주문 접수 대장'!$I$4:$I$503,"&lt;&gt;"&amp;C29)&gt;0,"단위 섞임",""))</f>
        <v/>
      </c>
    </row>
    <row r="30">
      <c r="A30" s="23">
        <f>IFERROR(INDEX('주문 접수 대장'!$F$4:$F$503,MATCH(25,'주문 접수 대장'!$S$4:$S$503,0)),"")</f>
        <v/>
      </c>
      <c r="B30" s="24">
        <f>IF($A30="","",INDEX('주문 접수 대장'!$G$4:$G$503,MATCH($A30,'주문 접수 대장'!$F$4:$F$503,0))&amp;"")</f>
        <v/>
      </c>
      <c r="C30" s="14">
        <f>IF($A30="","",INDEX('주문 접수 대장'!$I$4:$I$503,MATCH($A30,'주문 접수 대장'!$F$4:$F$503,0))&amp;"")</f>
        <v/>
      </c>
      <c r="D30" s="25">
        <f>IF($A30="","",COUNTIFS('주문 접수 대장'!$F$4:$F$503,$A30,'주문 접수 대장'!$A$4:$A$503,"&gt;="&amp;$B$3,'주문 접수 대장'!$A$4:$A$503,"&lt;="&amp;$D$3))</f>
        <v/>
      </c>
      <c r="E30" s="16">
        <f>IF($A30="","",SUMIFS('주문 접수 대장'!$H$4:$H$503,'주문 접수 대장'!$F$4:$F$503,$A30,'주문 접수 대장'!$A$4:$A$503,"&gt;="&amp;$B$3,'주문 접수 대장'!$A$4:$A$503,"&lt;="&amp;$D$3))</f>
        <v/>
      </c>
      <c r="F30" s="26">
        <f>IF($A30="","",SUMIFS('주문 접수 대장'!$K$4:$K$503,'주문 접수 대장'!$F$4:$F$503,$A30,'주문 접수 대장'!$A$4:$A$503,"&gt;="&amp;$B$3,'주문 접수 대장'!$A$4:$A$503,"&lt;="&amp;$D$3))</f>
        <v/>
      </c>
      <c r="G30" s="16">
        <f>IF($A30="","",SUMIFS('주문 접수 대장'!$H$4:$H$503,'주문 접수 대장'!$F$4:$F$503,$A30,'주문 접수 대장'!$A$4:$A$503,"&gt;="&amp;$B$3,'주문 접수 대장'!$A$4:$A$503,"&lt;="&amp;$D$3,'주문 접수 대장'!$O$4:$O$503,"&lt;&gt;납품완료",'주문 접수 대장'!$O$4:$O$503,"&lt;&gt;취소"))</f>
        <v/>
      </c>
      <c r="H30" s="25">
        <f>IF($A30="","",COUNTIFS('주문 접수 대장'!$F$4:$F$503,$A30,'주문 접수 대장'!$A$4:$A$503,"&gt;="&amp;$B$3,'주문 접수 대장'!$A$4:$A$503,"&lt;="&amp;$D$3,'주문 접수 대장'!$P$4:$P$503,"지연"))</f>
        <v/>
      </c>
      <c r="I30" s="25">
        <f>IF($A30="","",COUNTIFS('주문 접수 대장'!$F$4:$F$503,$A30,'주문 접수 대장'!$A$4:$A$503,"&gt;="&amp;$B$3,'주문 접수 대장'!$A$4:$A$503,"&lt;="&amp;$D$3,'주문 접수 대장'!$O$4:$O$503,"취소"))</f>
        <v/>
      </c>
      <c r="J30" s="27">
        <f>IF($A30="","",IF(COUNTIFS('주문 접수 대장'!$F$4:$F$503,$A30,'주문 접수 대장'!$I$4:$I$503,"&lt;&gt;"&amp;C30)&gt;0,"단위 섞임",""))</f>
        <v/>
      </c>
    </row>
    <row r="31">
      <c r="A31" s="23">
        <f>IFERROR(INDEX('주문 접수 대장'!$F$4:$F$503,MATCH(26,'주문 접수 대장'!$S$4:$S$503,0)),"")</f>
        <v/>
      </c>
      <c r="B31" s="24">
        <f>IF($A31="","",INDEX('주문 접수 대장'!$G$4:$G$503,MATCH($A31,'주문 접수 대장'!$F$4:$F$503,0))&amp;"")</f>
        <v/>
      </c>
      <c r="C31" s="14">
        <f>IF($A31="","",INDEX('주문 접수 대장'!$I$4:$I$503,MATCH($A31,'주문 접수 대장'!$F$4:$F$503,0))&amp;"")</f>
        <v/>
      </c>
      <c r="D31" s="25">
        <f>IF($A31="","",COUNTIFS('주문 접수 대장'!$F$4:$F$503,$A31,'주문 접수 대장'!$A$4:$A$503,"&gt;="&amp;$B$3,'주문 접수 대장'!$A$4:$A$503,"&lt;="&amp;$D$3))</f>
        <v/>
      </c>
      <c r="E31" s="16">
        <f>IF($A31="","",SUMIFS('주문 접수 대장'!$H$4:$H$503,'주문 접수 대장'!$F$4:$F$503,$A31,'주문 접수 대장'!$A$4:$A$503,"&gt;="&amp;$B$3,'주문 접수 대장'!$A$4:$A$503,"&lt;="&amp;$D$3))</f>
        <v/>
      </c>
      <c r="F31" s="26">
        <f>IF($A31="","",SUMIFS('주문 접수 대장'!$K$4:$K$503,'주문 접수 대장'!$F$4:$F$503,$A31,'주문 접수 대장'!$A$4:$A$503,"&gt;="&amp;$B$3,'주문 접수 대장'!$A$4:$A$503,"&lt;="&amp;$D$3))</f>
        <v/>
      </c>
      <c r="G31" s="16">
        <f>IF($A31="","",SUMIFS('주문 접수 대장'!$H$4:$H$503,'주문 접수 대장'!$F$4:$F$503,$A31,'주문 접수 대장'!$A$4:$A$503,"&gt;="&amp;$B$3,'주문 접수 대장'!$A$4:$A$503,"&lt;="&amp;$D$3,'주문 접수 대장'!$O$4:$O$503,"&lt;&gt;납품완료",'주문 접수 대장'!$O$4:$O$503,"&lt;&gt;취소"))</f>
        <v/>
      </c>
      <c r="H31" s="25">
        <f>IF($A31="","",COUNTIFS('주문 접수 대장'!$F$4:$F$503,$A31,'주문 접수 대장'!$A$4:$A$503,"&gt;="&amp;$B$3,'주문 접수 대장'!$A$4:$A$503,"&lt;="&amp;$D$3,'주문 접수 대장'!$P$4:$P$503,"지연"))</f>
        <v/>
      </c>
      <c r="I31" s="25">
        <f>IF($A31="","",COUNTIFS('주문 접수 대장'!$F$4:$F$503,$A31,'주문 접수 대장'!$A$4:$A$503,"&gt;="&amp;$B$3,'주문 접수 대장'!$A$4:$A$503,"&lt;="&amp;$D$3,'주문 접수 대장'!$O$4:$O$503,"취소"))</f>
        <v/>
      </c>
      <c r="J31" s="27">
        <f>IF($A31="","",IF(COUNTIFS('주문 접수 대장'!$F$4:$F$503,$A31,'주문 접수 대장'!$I$4:$I$503,"&lt;&gt;"&amp;C31)&gt;0,"단위 섞임",""))</f>
        <v/>
      </c>
    </row>
    <row r="32">
      <c r="A32" s="23">
        <f>IFERROR(INDEX('주문 접수 대장'!$F$4:$F$503,MATCH(27,'주문 접수 대장'!$S$4:$S$503,0)),"")</f>
        <v/>
      </c>
      <c r="B32" s="24">
        <f>IF($A32="","",INDEX('주문 접수 대장'!$G$4:$G$503,MATCH($A32,'주문 접수 대장'!$F$4:$F$503,0))&amp;"")</f>
        <v/>
      </c>
      <c r="C32" s="14">
        <f>IF($A32="","",INDEX('주문 접수 대장'!$I$4:$I$503,MATCH($A32,'주문 접수 대장'!$F$4:$F$503,0))&amp;"")</f>
        <v/>
      </c>
      <c r="D32" s="25">
        <f>IF($A32="","",COUNTIFS('주문 접수 대장'!$F$4:$F$503,$A32,'주문 접수 대장'!$A$4:$A$503,"&gt;="&amp;$B$3,'주문 접수 대장'!$A$4:$A$503,"&lt;="&amp;$D$3))</f>
        <v/>
      </c>
      <c r="E32" s="16">
        <f>IF($A32="","",SUMIFS('주문 접수 대장'!$H$4:$H$503,'주문 접수 대장'!$F$4:$F$503,$A32,'주문 접수 대장'!$A$4:$A$503,"&gt;="&amp;$B$3,'주문 접수 대장'!$A$4:$A$503,"&lt;="&amp;$D$3))</f>
        <v/>
      </c>
      <c r="F32" s="26">
        <f>IF($A32="","",SUMIFS('주문 접수 대장'!$K$4:$K$503,'주문 접수 대장'!$F$4:$F$503,$A32,'주문 접수 대장'!$A$4:$A$503,"&gt;="&amp;$B$3,'주문 접수 대장'!$A$4:$A$503,"&lt;="&amp;$D$3))</f>
        <v/>
      </c>
      <c r="G32" s="16">
        <f>IF($A32="","",SUMIFS('주문 접수 대장'!$H$4:$H$503,'주문 접수 대장'!$F$4:$F$503,$A32,'주문 접수 대장'!$A$4:$A$503,"&gt;="&amp;$B$3,'주문 접수 대장'!$A$4:$A$503,"&lt;="&amp;$D$3,'주문 접수 대장'!$O$4:$O$503,"&lt;&gt;납품완료",'주문 접수 대장'!$O$4:$O$503,"&lt;&gt;취소"))</f>
        <v/>
      </c>
      <c r="H32" s="25">
        <f>IF($A32="","",COUNTIFS('주문 접수 대장'!$F$4:$F$503,$A32,'주문 접수 대장'!$A$4:$A$503,"&gt;="&amp;$B$3,'주문 접수 대장'!$A$4:$A$503,"&lt;="&amp;$D$3,'주문 접수 대장'!$P$4:$P$503,"지연"))</f>
        <v/>
      </c>
      <c r="I32" s="25">
        <f>IF($A32="","",COUNTIFS('주문 접수 대장'!$F$4:$F$503,$A32,'주문 접수 대장'!$A$4:$A$503,"&gt;="&amp;$B$3,'주문 접수 대장'!$A$4:$A$503,"&lt;="&amp;$D$3,'주문 접수 대장'!$O$4:$O$503,"취소"))</f>
        <v/>
      </c>
      <c r="J32" s="27">
        <f>IF($A32="","",IF(COUNTIFS('주문 접수 대장'!$F$4:$F$503,$A32,'주문 접수 대장'!$I$4:$I$503,"&lt;&gt;"&amp;C32)&gt;0,"단위 섞임",""))</f>
        <v/>
      </c>
    </row>
    <row r="33">
      <c r="A33" s="23">
        <f>IFERROR(INDEX('주문 접수 대장'!$F$4:$F$503,MATCH(28,'주문 접수 대장'!$S$4:$S$503,0)),"")</f>
        <v/>
      </c>
      <c r="B33" s="24">
        <f>IF($A33="","",INDEX('주문 접수 대장'!$G$4:$G$503,MATCH($A33,'주문 접수 대장'!$F$4:$F$503,0))&amp;"")</f>
        <v/>
      </c>
      <c r="C33" s="14">
        <f>IF($A33="","",INDEX('주문 접수 대장'!$I$4:$I$503,MATCH($A33,'주문 접수 대장'!$F$4:$F$503,0))&amp;"")</f>
        <v/>
      </c>
      <c r="D33" s="25">
        <f>IF($A33="","",COUNTIFS('주문 접수 대장'!$F$4:$F$503,$A33,'주문 접수 대장'!$A$4:$A$503,"&gt;="&amp;$B$3,'주문 접수 대장'!$A$4:$A$503,"&lt;="&amp;$D$3))</f>
        <v/>
      </c>
      <c r="E33" s="16">
        <f>IF($A33="","",SUMIFS('주문 접수 대장'!$H$4:$H$503,'주문 접수 대장'!$F$4:$F$503,$A33,'주문 접수 대장'!$A$4:$A$503,"&gt;="&amp;$B$3,'주문 접수 대장'!$A$4:$A$503,"&lt;="&amp;$D$3))</f>
        <v/>
      </c>
      <c r="F33" s="26">
        <f>IF($A33="","",SUMIFS('주문 접수 대장'!$K$4:$K$503,'주문 접수 대장'!$F$4:$F$503,$A33,'주문 접수 대장'!$A$4:$A$503,"&gt;="&amp;$B$3,'주문 접수 대장'!$A$4:$A$503,"&lt;="&amp;$D$3))</f>
        <v/>
      </c>
      <c r="G33" s="16">
        <f>IF($A33="","",SUMIFS('주문 접수 대장'!$H$4:$H$503,'주문 접수 대장'!$F$4:$F$503,$A33,'주문 접수 대장'!$A$4:$A$503,"&gt;="&amp;$B$3,'주문 접수 대장'!$A$4:$A$503,"&lt;="&amp;$D$3,'주문 접수 대장'!$O$4:$O$503,"&lt;&gt;납품완료",'주문 접수 대장'!$O$4:$O$503,"&lt;&gt;취소"))</f>
        <v/>
      </c>
      <c r="H33" s="25">
        <f>IF($A33="","",COUNTIFS('주문 접수 대장'!$F$4:$F$503,$A33,'주문 접수 대장'!$A$4:$A$503,"&gt;="&amp;$B$3,'주문 접수 대장'!$A$4:$A$503,"&lt;="&amp;$D$3,'주문 접수 대장'!$P$4:$P$503,"지연"))</f>
        <v/>
      </c>
      <c r="I33" s="25">
        <f>IF($A33="","",COUNTIFS('주문 접수 대장'!$F$4:$F$503,$A33,'주문 접수 대장'!$A$4:$A$503,"&gt;="&amp;$B$3,'주문 접수 대장'!$A$4:$A$503,"&lt;="&amp;$D$3,'주문 접수 대장'!$O$4:$O$503,"취소"))</f>
        <v/>
      </c>
      <c r="J33" s="27">
        <f>IF($A33="","",IF(COUNTIFS('주문 접수 대장'!$F$4:$F$503,$A33,'주문 접수 대장'!$I$4:$I$503,"&lt;&gt;"&amp;C33)&gt;0,"단위 섞임",""))</f>
        <v/>
      </c>
    </row>
    <row r="34">
      <c r="A34" s="23">
        <f>IFERROR(INDEX('주문 접수 대장'!$F$4:$F$503,MATCH(29,'주문 접수 대장'!$S$4:$S$503,0)),"")</f>
        <v/>
      </c>
      <c r="B34" s="24">
        <f>IF($A34="","",INDEX('주문 접수 대장'!$G$4:$G$503,MATCH($A34,'주문 접수 대장'!$F$4:$F$503,0))&amp;"")</f>
        <v/>
      </c>
      <c r="C34" s="14">
        <f>IF($A34="","",INDEX('주문 접수 대장'!$I$4:$I$503,MATCH($A34,'주문 접수 대장'!$F$4:$F$503,0))&amp;"")</f>
        <v/>
      </c>
      <c r="D34" s="25">
        <f>IF($A34="","",COUNTIFS('주문 접수 대장'!$F$4:$F$503,$A34,'주문 접수 대장'!$A$4:$A$503,"&gt;="&amp;$B$3,'주문 접수 대장'!$A$4:$A$503,"&lt;="&amp;$D$3))</f>
        <v/>
      </c>
      <c r="E34" s="16">
        <f>IF($A34="","",SUMIFS('주문 접수 대장'!$H$4:$H$503,'주문 접수 대장'!$F$4:$F$503,$A34,'주문 접수 대장'!$A$4:$A$503,"&gt;="&amp;$B$3,'주문 접수 대장'!$A$4:$A$503,"&lt;="&amp;$D$3))</f>
        <v/>
      </c>
      <c r="F34" s="26">
        <f>IF($A34="","",SUMIFS('주문 접수 대장'!$K$4:$K$503,'주문 접수 대장'!$F$4:$F$503,$A34,'주문 접수 대장'!$A$4:$A$503,"&gt;="&amp;$B$3,'주문 접수 대장'!$A$4:$A$503,"&lt;="&amp;$D$3))</f>
        <v/>
      </c>
      <c r="G34" s="16">
        <f>IF($A34="","",SUMIFS('주문 접수 대장'!$H$4:$H$503,'주문 접수 대장'!$F$4:$F$503,$A34,'주문 접수 대장'!$A$4:$A$503,"&gt;="&amp;$B$3,'주문 접수 대장'!$A$4:$A$503,"&lt;="&amp;$D$3,'주문 접수 대장'!$O$4:$O$503,"&lt;&gt;납품완료",'주문 접수 대장'!$O$4:$O$503,"&lt;&gt;취소"))</f>
        <v/>
      </c>
      <c r="H34" s="25">
        <f>IF($A34="","",COUNTIFS('주문 접수 대장'!$F$4:$F$503,$A34,'주문 접수 대장'!$A$4:$A$503,"&gt;="&amp;$B$3,'주문 접수 대장'!$A$4:$A$503,"&lt;="&amp;$D$3,'주문 접수 대장'!$P$4:$P$503,"지연"))</f>
        <v/>
      </c>
      <c r="I34" s="25">
        <f>IF($A34="","",COUNTIFS('주문 접수 대장'!$F$4:$F$503,$A34,'주문 접수 대장'!$A$4:$A$503,"&gt;="&amp;$B$3,'주문 접수 대장'!$A$4:$A$503,"&lt;="&amp;$D$3,'주문 접수 대장'!$O$4:$O$503,"취소"))</f>
        <v/>
      </c>
      <c r="J34" s="27">
        <f>IF($A34="","",IF(COUNTIFS('주문 접수 대장'!$F$4:$F$503,$A34,'주문 접수 대장'!$I$4:$I$503,"&lt;&gt;"&amp;C34)&gt;0,"단위 섞임",""))</f>
        <v/>
      </c>
    </row>
    <row r="35">
      <c r="A35" s="23">
        <f>IFERROR(INDEX('주문 접수 대장'!$F$4:$F$503,MATCH(30,'주문 접수 대장'!$S$4:$S$503,0)),"")</f>
        <v/>
      </c>
      <c r="B35" s="24">
        <f>IF($A35="","",INDEX('주문 접수 대장'!$G$4:$G$503,MATCH($A35,'주문 접수 대장'!$F$4:$F$503,0))&amp;"")</f>
        <v/>
      </c>
      <c r="C35" s="14">
        <f>IF($A35="","",INDEX('주문 접수 대장'!$I$4:$I$503,MATCH($A35,'주문 접수 대장'!$F$4:$F$503,0))&amp;"")</f>
        <v/>
      </c>
      <c r="D35" s="25">
        <f>IF($A35="","",COUNTIFS('주문 접수 대장'!$F$4:$F$503,$A35,'주문 접수 대장'!$A$4:$A$503,"&gt;="&amp;$B$3,'주문 접수 대장'!$A$4:$A$503,"&lt;="&amp;$D$3))</f>
        <v/>
      </c>
      <c r="E35" s="16">
        <f>IF($A35="","",SUMIFS('주문 접수 대장'!$H$4:$H$503,'주문 접수 대장'!$F$4:$F$503,$A35,'주문 접수 대장'!$A$4:$A$503,"&gt;="&amp;$B$3,'주문 접수 대장'!$A$4:$A$503,"&lt;="&amp;$D$3))</f>
        <v/>
      </c>
      <c r="F35" s="26">
        <f>IF($A35="","",SUMIFS('주문 접수 대장'!$K$4:$K$503,'주문 접수 대장'!$F$4:$F$503,$A35,'주문 접수 대장'!$A$4:$A$503,"&gt;="&amp;$B$3,'주문 접수 대장'!$A$4:$A$503,"&lt;="&amp;$D$3))</f>
        <v/>
      </c>
      <c r="G35" s="16">
        <f>IF($A35="","",SUMIFS('주문 접수 대장'!$H$4:$H$503,'주문 접수 대장'!$F$4:$F$503,$A35,'주문 접수 대장'!$A$4:$A$503,"&gt;="&amp;$B$3,'주문 접수 대장'!$A$4:$A$503,"&lt;="&amp;$D$3,'주문 접수 대장'!$O$4:$O$503,"&lt;&gt;납품완료",'주문 접수 대장'!$O$4:$O$503,"&lt;&gt;취소"))</f>
        <v/>
      </c>
      <c r="H35" s="25">
        <f>IF($A35="","",COUNTIFS('주문 접수 대장'!$F$4:$F$503,$A35,'주문 접수 대장'!$A$4:$A$503,"&gt;="&amp;$B$3,'주문 접수 대장'!$A$4:$A$503,"&lt;="&amp;$D$3,'주문 접수 대장'!$P$4:$P$503,"지연"))</f>
        <v/>
      </c>
      <c r="I35" s="25">
        <f>IF($A35="","",COUNTIFS('주문 접수 대장'!$F$4:$F$503,$A35,'주문 접수 대장'!$A$4:$A$503,"&gt;="&amp;$B$3,'주문 접수 대장'!$A$4:$A$503,"&lt;="&amp;$D$3,'주문 접수 대장'!$O$4:$O$503,"취소"))</f>
        <v/>
      </c>
      <c r="J35" s="27">
        <f>IF($A35="","",IF(COUNTIFS('주문 접수 대장'!$F$4:$F$503,$A35,'주문 접수 대장'!$I$4:$I$503,"&lt;&gt;"&amp;C35)&gt;0,"단위 섞임",""))</f>
        <v/>
      </c>
    </row>
    <row r="36">
      <c r="A36" s="23">
        <f>IFERROR(INDEX('주문 접수 대장'!$F$4:$F$503,MATCH(31,'주문 접수 대장'!$S$4:$S$503,0)),"")</f>
        <v/>
      </c>
      <c r="B36" s="24">
        <f>IF($A36="","",INDEX('주문 접수 대장'!$G$4:$G$503,MATCH($A36,'주문 접수 대장'!$F$4:$F$503,0))&amp;"")</f>
        <v/>
      </c>
      <c r="C36" s="14">
        <f>IF($A36="","",INDEX('주문 접수 대장'!$I$4:$I$503,MATCH($A36,'주문 접수 대장'!$F$4:$F$503,0))&amp;"")</f>
        <v/>
      </c>
      <c r="D36" s="25">
        <f>IF($A36="","",COUNTIFS('주문 접수 대장'!$F$4:$F$503,$A36,'주문 접수 대장'!$A$4:$A$503,"&gt;="&amp;$B$3,'주문 접수 대장'!$A$4:$A$503,"&lt;="&amp;$D$3))</f>
        <v/>
      </c>
      <c r="E36" s="16">
        <f>IF($A36="","",SUMIFS('주문 접수 대장'!$H$4:$H$503,'주문 접수 대장'!$F$4:$F$503,$A36,'주문 접수 대장'!$A$4:$A$503,"&gt;="&amp;$B$3,'주문 접수 대장'!$A$4:$A$503,"&lt;="&amp;$D$3))</f>
        <v/>
      </c>
      <c r="F36" s="26">
        <f>IF($A36="","",SUMIFS('주문 접수 대장'!$K$4:$K$503,'주문 접수 대장'!$F$4:$F$503,$A36,'주문 접수 대장'!$A$4:$A$503,"&gt;="&amp;$B$3,'주문 접수 대장'!$A$4:$A$503,"&lt;="&amp;$D$3))</f>
        <v/>
      </c>
      <c r="G36" s="16">
        <f>IF($A36="","",SUMIFS('주문 접수 대장'!$H$4:$H$503,'주문 접수 대장'!$F$4:$F$503,$A36,'주문 접수 대장'!$A$4:$A$503,"&gt;="&amp;$B$3,'주문 접수 대장'!$A$4:$A$503,"&lt;="&amp;$D$3,'주문 접수 대장'!$O$4:$O$503,"&lt;&gt;납품완료",'주문 접수 대장'!$O$4:$O$503,"&lt;&gt;취소"))</f>
        <v/>
      </c>
      <c r="H36" s="25">
        <f>IF($A36="","",COUNTIFS('주문 접수 대장'!$F$4:$F$503,$A36,'주문 접수 대장'!$A$4:$A$503,"&gt;="&amp;$B$3,'주문 접수 대장'!$A$4:$A$503,"&lt;="&amp;$D$3,'주문 접수 대장'!$P$4:$P$503,"지연"))</f>
        <v/>
      </c>
      <c r="I36" s="25">
        <f>IF($A36="","",COUNTIFS('주문 접수 대장'!$F$4:$F$503,$A36,'주문 접수 대장'!$A$4:$A$503,"&gt;="&amp;$B$3,'주문 접수 대장'!$A$4:$A$503,"&lt;="&amp;$D$3,'주문 접수 대장'!$O$4:$O$503,"취소"))</f>
        <v/>
      </c>
      <c r="J36" s="27">
        <f>IF($A36="","",IF(COUNTIFS('주문 접수 대장'!$F$4:$F$503,$A36,'주문 접수 대장'!$I$4:$I$503,"&lt;&gt;"&amp;C36)&gt;0,"단위 섞임",""))</f>
        <v/>
      </c>
    </row>
    <row r="37">
      <c r="A37" s="23">
        <f>IFERROR(INDEX('주문 접수 대장'!$F$4:$F$503,MATCH(32,'주문 접수 대장'!$S$4:$S$503,0)),"")</f>
        <v/>
      </c>
      <c r="B37" s="24">
        <f>IF($A37="","",INDEX('주문 접수 대장'!$G$4:$G$503,MATCH($A37,'주문 접수 대장'!$F$4:$F$503,0))&amp;"")</f>
        <v/>
      </c>
      <c r="C37" s="14">
        <f>IF($A37="","",INDEX('주문 접수 대장'!$I$4:$I$503,MATCH($A37,'주문 접수 대장'!$F$4:$F$503,0))&amp;"")</f>
        <v/>
      </c>
      <c r="D37" s="25">
        <f>IF($A37="","",COUNTIFS('주문 접수 대장'!$F$4:$F$503,$A37,'주문 접수 대장'!$A$4:$A$503,"&gt;="&amp;$B$3,'주문 접수 대장'!$A$4:$A$503,"&lt;="&amp;$D$3))</f>
        <v/>
      </c>
      <c r="E37" s="16">
        <f>IF($A37="","",SUMIFS('주문 접수 대장'!$H$4:$H$503,'주문 접수 대장'!$F$4:$F$503,$A37,'주문 접수 대장'!$A$4:$A$503,"&gt;="&amp;$B$3,'주문 접수 대장'!$A$4:$A$503,"&lt;="&amp;$D$3))</f>
        <v/>
      </c>
      <c r="F37" s="26">
        <f>IF($A37="","",SUMIFS('주문 접수 대장'!$K$4:$K$503,'주문 접수 대장'!$F$4:$F$503,$A37,'주문 접수 대장'!$A$4:$A$503,"&gt;="&amp;$B$3,'주문 접수 대장'!$A$4:$A$503,"&lt;="&amp;$D$3))</f>
        <v/>
      </c>
      <c r="G37" s="16">
        <f>IF($A37="","",SUMIFS('주문 접수 대장'!$H$4:$H$503,'주문 접수 대장'!$F$4:$F$503,$A37,'주문 접수 대장'!$A$4:$A$503,"&gt;="&amp;$B$3,'주문 접수 대장'!$A$4:$A$503,"&lt;="&amp;$D$3,'주문 접수 대장'!$O$4:$O$503,"&lt;&gt;납품완료",'주문 접수 대장'!$O$4:$O$503,"&lt;&gt;취소"))</f>
        <v/>
      </c>
      <c r="H37" s="25">
        <f>IF($A37="","",COUNTIFS('주문 접수 대장'!$F$4:$F$503,$A37,'주문 접수 대장'!$A$4:$A$503,"&gt;="&amp;$B$3,'주문 접수 대장'!$A$4:$A$503,"&lt;="&amp;$D$3,'주문 접수 대장'!$P$4:$P$503,"지연"))</f>
        <v/>
      </c>
      <c r="I37" s="25">
        <f>IF($A37="","",COUNTIFS('주문 접수 대장'!$F$4:$F$503,$A37,'주문 접수 대장'!$A$4:$A$503,"&gt;="&amp;$B$3,'주문 접수 대장'!$A$4:$A$503,"&lt;="&amp;$D$3,'주문 접수 대장'!$O$4:$O$503,"취소"))</f>
        <v/>
      </c>
      <c r="J37" s="27">
        <f>IF($A37="","",IF(COUNTIFS('주문 접수 대장'!$F$4:$F$503,$A37,'주문 접수 대장'!$I$4:$I$503,"&lt;&gt;"&amp;C37)&gt;0,"단위 섞임",""))</f>
        <v/>
      </c>
    </row>
    <row r="38">
      <c r="A38" s="23">
        <f>IFERROR(INDEX('주문 접수 대장'!$F$4:$F$503,MATCH(33,'주문 접수 대장'!$S$4:$S$503,0)),"")</f>
        <v/>
      </c>
      <c r="B38" s="24">
        <f>IF($A38="","",INDEX('주문 접수 대장'!$G$4:$G$503,MATCH($A38,'주문 접수 대장'!$F$4:$F$503,0))&amp;"")</f>
        <v/>
      </c>
      <c r="C38" s="14">
        <f>IF($A38="","",INDEX('주문 접수 대장'!$I$4:$I$503,MATCH($A38,'주문 접수 대장'!$F$4:$F$503,0))&amp;"")</f>
        <v/>
      </c>
      <c r="D38" s="25">
        <f>IF($A38="","",COUNTIFS('주문 접수 대장'!$F$4:$F$503,$A38,'주문 접수 대장'!$A$4:$A$503,"&gt;="&amp;$B$3,'주문 접수 대장'!$A$4:$A$503,"&lt;="&amp;$D$3))</f>
        <v/>
      </c>
      <c r="E38" s="16">
        <f>IF($A38="","",SUMIFS('주문 접수 대장'!$H$4:$H$503,'주문 접수 대장'!$F$4:$F$503,$A38,'주문 접수 대장'!$A$4:$A$503,"&gt;="&amp;$B$3,'주문 접수 대장'!$A$4:$A$503,"&lt;="&amp;$D$3))</f>
        <v/>
      </c>
      <c r="F38" s="26">
        <f>IF($A38="","",SUMIFS('주문 접수 대장'!$K$4:$K$503,'주문 접수 대장'!$F$4:$F$503,$A38,'주문 접수 대장'!$A$4:$A$503,"&gt;="&amp;$B$3,'주문 접수 대장'!$A$4:$A$503,"&lt;="&amp;$D$3))</f>
        <v/>
      </c>
      <c r="G38" s="16">
        <f>IF($A38="","",SUMIFS('주문 접수 대장'!$H$4:$H$503,'주문 접수 대장'!$F$4:$F$503,$A38,'주문 접수 대장'!$A$4:$A$503,"&gt;="&amp;$B$3,'주문 접수 대장'!$A$4:$A$503,"&lt;="&amp;$D$3,'주문 접수 대장'!$O$4:$O$503,"&lt;&gt;납품완료",'주문 접수 대장'!$O$4:$O$503,"&lt;&gt;취소"))</f>
        <v/>
      </c>
      <c r="H38" s="25">
        <f>IF($A38="","",COUNTIFS('주문 접수 대장'!$F$4:$F$503,$A38,'주문 접수 대장'!$A$4:$A$503,"&gt;="&amp;$B$3,'주문 접수 대장'!$A$4:$A$503,"&lt;="&amp;$D$3,'주문 접수 대장'!$P$4:$P$503,"지연"))</f>
        <v/>
      </c>
      <c r="I38" s="25">
        <f>IF($A38="","",COUNTIFS('주문 접수 대장'!$F$4:$F$503,$A38,'주문 접수 대장'!$A$4:$A$503,"&gt;="&amp;$B$3,'주문 접수 대장'!$A$4:$A$503,"&lt;="&amp;$D$3,'주문 접수 대장'!$O$4:$O$503,"취소"))</f>
        <v/>
      </c>
      <c r="J38" s="27">
        <f>IF($A38="","",IF(COUNTIFS('주문 접수 대장'!$F$4:$F$503,$A38,'주문 접수 대장'!$I$4:$I$503,"&lt;&gt;"&amp;C38)&gt;0,"단위 섞임",""))</f>
        <v/>
      </c>
    </row>
    <row r="39">
      <c r="A39" s="23">
        <f>IFERROR(INDEX('주문 접수 대장'!$F$4:$F$503,MATCH(34,'주문 접수 대장'!$S$4:$S$503,0)),"")</f>
        <v/>
      </c>
      <c r="B39" s="24">
        <f>IF($A39="","",INDEX('주문 접수 대장'!$G$4:$G$503,MATCH($A39,'주문 접수 대장'!$F$4:$F$503,0))&amp;"")</f>
        <v/>
      </c>
      <c r="C39" s="14">
        <f>IF($A39="","",INDEX('주문 접수 대장'!$I$4:$I$503,MATCH($A39,'주문 접수 대장'!$F$4:$F$503,0))&amp;"")</f>
        <v/>
      </c>
      <c r="D39" s="25">
        <f>IF($A39="","",COUNTIFS('주문 접수 대장'!$F$4:$F$503,$A39,'주문 접수 대장'!$A$4:$A$503,"&gt;="&amp;$B$3,'주문 접수 대장'!$A$4:$A$503,"&lt;="&amp;$D$3))</f>
        <v/>
      </c>
      <c r="E39" s="16">
        <f>IF($A39="","",SUMIFS('주문 접수 대장'!$H$4:$H$503,'주문 접수 대장'!$F$4:$F$503,$A39,'주문 접수 대장'!$A$4:$A$503,"&gt;="&amp;$B$3,'주문 접수 대장'!$A$4:$A$503,"&lt;="&amp;$D$3))</f>
        <v/>
      </c>
      <c r="F39" s="26">
        <f>IF($A39="","",SUMIFS('주문 접수 대장'!$K$4:$K$503,'주문 접수 대장'!$F$4:$F$503,$A39,'주문 접수 대장'!$A$4:$A$503,"&gt;="&amp;$B$3,'주문 접수 대장'!$A$4:$A$503,"&lt;="&amp;$D$3))</f>
        <v/>
      </c>
      <c r="G39" s="16">
        <f>IF($A39="","",SUMIFS('주문 접수 대장'!$H$4:$H$503,'주문 접수 대장'!$F$4:$F$503,$A39,'주문 접수 대장'!$A$4:$A$503,"&gt;="&amp;$B$3,'주문 접수 대장'!$A$4:$A$503,"&lt;="&amp;$D$3,'주문 접수 대장'!$O$4:$O$503,"&lt;&gt;납품완료",'주문 접수 대장'!$O$4:$O$503,"&lt;&gt;취소"))</f>
        <v/>
      </c>
      <c r="H39" s="25">
        <f>IF($A39="","",COUNTIFS('주문 접수 대장'!$F$4:$F$503,$A39,'주문 접수 대장'!$A$4:$A$503,"&gt;="&amp;$B$3,'주문 접수 대장'!$A$4:$A$503,"&lt;="&amp;$D$3,'주문 접수 대장'!$P$4:$P$503,"지연"))</f>
        <v/>
      </c>
      <c r="I39" s="25">
        <f>IF($A39="","",COUNTIFS('주문 접수 대장'!$F$4:$F$503,$A39,'주문 접수 대장'!$A$4:$A$503,"&gt;="&amp;$B$3,'주문 접수 대장'!$A$4:$A$503,"&lt;="&amp;$D$3,'주문 접수 대장'!$O$4:$O$503,"취소"))</f>
        <v/>
      </c>
      <c r="J39" s="27">
        <f>IF($A39="","",IF(COUNTIFS('주문 접수 대장'!$F$4:$F$503,$A39,'주문 접수 대장'!$I$4:$I$503,"&lt;&gt;"&amp;C39)&gt;0,"단위 섞임",""))</f>
        <v/>
      </c>
    </row>
    <row r="40">
      <c r="A40" s="23">
        <f>IFERROR(INDEX('주문 접수 대장'!$F$4:$F$503,MATCH(35,'주문 접수 대장'!$S$4:$S$503,0)),"")</f>
        <v/>
      </c>
      <c r="B40" s="24">
        <f>IF($A40="","",INDEX('주문 접수 대장'!$G$4:$G$503,MATCH($A40,'주문 접수 대장'!$F$4:$F$503,0))&amp;"")</f>
        <v/>
      </c>
      <c r="C40" s="14">
        <f>IF($A40="","",INDEX('주문 접수 대장'!$I$4:$I$503,MATCH($A40,'주문 접수 대장'!$F$4:$F$503,0))&amp;"")</f>
        <v/>
      </c>
      <c r="D40" s="25">
        <f>IF($A40="","",COUNTIFS('주문 접수 대장'!$F$4:$F$503,$A40,'주문 접수 대장'!$A$4:$A$503,"&gt;="&amp;$B$3,'주문 접수 대장'!$A$4:$A$503,"&lt;="&amp;$D$3))</f>
        <v/>
      </c>
      <c r="E40" s="16">
        <f>IF($A40="","",SUMIFS('주문 접수 대장'!$H$4:$H$503,'주문 접수 대장'!$F$4:$F$503,$A40,'주문 접수 대장'!$A$4:$A$503,"&gt;="&amp;$B$3,'주문 접수 대장'!$A$4:$A$503,"&lt;="&amp;$D$3))</f>
        <v/>
      </c>
      <c r="F40" s="26">
        <f>IF($A40="","",SUMIFS('주문 접수 대장'!$K$4:$K$503,'주문 접수 대장'!$F$4:$F$503,$A40,'주문 접수 대장'!$A$4:$A$503,"&gt;="&amp;$B$3,'주문 접수 대장'!$A$4:$A$503,"&lt;="&amp;$D$3))</f>
        <v/>
      </c>
      <c r="G40" s="16">
        <f>IF($A40="","",SUMIFS('주문 접수 대장'!$H$4:$H$503,'주문 접수 대장'!$F$4:$F$503,$A40,'주문 접수 대장'!$A$4:$A$503,"&gt;="&amp;$B$3,'주문 접수 대장'!$A$4:$A$503,"&lt;="&amp;$D$3,'주문 접수 대장'!$O$4:$O$503,"&lt;&gt;납품완료",'주문 접수 대장'!$O$4:$O$503,"&lt;&gt;취소"))</f>
        <v/>
      </c>
      <c r="H40" s="25">
        <f>IF($A40="","",COUNTIFS('주문 접수 대장'!$F$4:$F$503,$A40,'주문 접수 대장'!$A$4:$A$503,"&gt;="&amp;$B$3,'주문 접수 대장'!$A$4:$A$503,"&lt;="&amp;$D$3,'주문 접수 대장'!$P$4:$P$503,"지연"))</f>
        <v/>
      </c>
      <c r="I40" s="25">
        <f>IF($A40="","",COUNTIFS('주문 접수 대장'!$F$4:$F$503,$A40,'주문 접수 대장'!$A$4:$A$503,"&gt;="&amp;$B$3,'주문 접수 대장'!$A$4:$A$503,"&lt;="&amp;$D$3,'주문 접수 대장'!$O$4:$O$503,"취소"))</f>
        <v/>
      </c>
      <c r="J40" s="27">
        <f>IF($A40="","",IF(COUNTIFS('주문 접수 대장'!$F$4:$F$503,$A40,'주문 접수 대장'!$I$4:$I$503,"&lt;&gt;"&amp;C40)&gt;0,"단위 섞임",""))</f>
        <v/>
      </c>
    </row>
    <row r="41">
      <c r="A41" s="23">
        <f>IFERROR(INDEX('주문 접수 대장'!$F$4:$F$503,MATCH(36,'주문 접수 대장'!$S$4:$S$503,0)),"")</f>
        <v/>
      </c>
      <c r="B41" s="24">
        <f>IF($A41="","",INDEX('주문 접수 대장'!$G$4:$G$503,MATCH($A41,'주문 접수 대장'!$F$4:$F$503,0))&amp;"")</f>
        <v/>
      </c>
      <c r="C41" s="14">
        <f>IF($A41="","",INDEX('주문 접수 대장'!$I$4:$I$503,MATCH($A41,'주문 접수 대장'!$F$4:$F$503,0))&amp;"")</f>
        <v/>
      </c>
      <c r="D41" s="25">
        <f>IF($A41="","",COUNTIFS('주문 접수 대장'!$F$4:$F$503,$A41,'주문 접수 대장'!$A$4:$A$503,"&gt;="&amp;$B$3,'주문 접수 대장'!$A$4:$A$503,"&lt;="&amp;$D$3))</f>
        <v/>
      </c>
      <c r="E41" s="16">
        <f>IF($A41="","",SUMIFS('주문 접수 대장'!$H$4:$H$503,'주문 접수 대장'!$F$4:$F$503,$A41,'주문 접수 대장'!$A$4:$A$503,"&gt;="&amp;$B$3,'주문 접수 대장'!$A$4:$A$503,"&lt;="&amp;$D$3))</f>
        <v/>
      </c>
      <c r="F41" s="26">
        <f>IF($A41="","",SUMIFS('주문 접수 대장'!$K$4:$K$503,'주문 접수 대장'!$F$4:$F$503,$A41,'주문 접수 대장'!$A$4:$A$503,"&gt;="&amp;$B$3,'주문 접수 대장'!$A$4:$A$503,"&lt;="&amp;$D$3))</f>
        <v/>
      </c>
      <c r="G41" s="16">
        <f>IF($A41="","",SUMIFS('주문 접수 대장'!$H$4:$H$503,'주문 접수 대장'!$F$4:$F$503,$A41,'주문 접수 대장'!$A$4:$A$503,"&gt;="&amp;$B$3,'주문 접수 대장'!$A$4:$A$503,"&lt;="&amp;$D$3,'주문 접수 대장'!$O$4:$O$503,"&lt;&gt;납품완료",'주문 접수 대장'!$O$4:$O$503,"&lt;&gt;취소"))</f>
        <v/>
      </c>
      <c r="H41" s="25">
        <f>IF($A41="","",COUNTIFS('주문 접수 대장'!$F$4:$F$503,$A41,'주문 접수 대장'!$A$4:$A$503,"&gt;="&amp;$B$3,'주문 접수 대장'!$A$4:$A$503,"&lt;="&amp;$D$3,'주문 접수 대장'!$P$4:$P$503,"지연"))</f>
        <v/>
      </c>
      <c r="I41" s="25">
        <f>IF($A41="","",COUNTIFS('주문 접수 대장'!$F$4:$F$503,$A41,'주문 접수 대장'!$A$4:$A$503,"&gt;="&amp;$B$3,'주문 접수 대장'!$A$4:$A$503,"&lt;="&amp;$D$3,'주문 접수 대장'!$O$4:$O$503,"취소"))</f>
        <v/>
      </c>
      <c r="J41" s="27">
        <f>IF($A41="","",IF(COUNTIFS('주문 접수 대장'!$F$4:$F$503,$A41,'주문 접수 대장'!$I$4:$I$503,"&lt;&gt;"&amp;C41)&gt;0,"단위 섞임",""))</f>
        <v/>
      </c>
    </row>
    <row r="42">
      <c r="A42" s="23">
        <f>IFERROR(INDEX('주문 접수 대장'!$F$4:$F$503,MATCH(37,'주문 접수 대장'!$S$4:$S$503,0)),"")</f>
        <v/>
      </c>
      <c r="B42" s="24">
        <f>IF($A42="","",INDEX('주문 접수 대장'!$G$4:$G$503,MATCH($A42,'주문 접수 대장'!$F$4:$F$503,0))&amp;"")</f>
        <v/>
      </c>
      <c r="C42" s="14">
        <f>IF($A42="","",INDEX('주문 접수 대장'!$I$4:$I$503,MATCH($A42,'주문 접수 대장'!$F$4:$F$503,0))&amp;"")</f>
        <v/>
      </c>
      <c r="D42" s="25">
        <f>IF($A42="","",COUNTIFS('주문 접수 대장'!$F$4:$F$503,$A42,'주문 접수 대장'!$A$4:$A$503,"&gt;="&amp;$B$3,'주문 접수 대장'!$A$4:$A$503,"&lt;="&amp;$D$3))</f>
        <v/>
      </c>
      <c r="E42" s="16">
        <f>IF($A42="","",SUMIFS('주문 접수 대장'!$H$4:$H$503,'주문 접수 대장'!$F$4:$F$503,$A42,'주문 접수 대장'!$A$4:$A$503,"&gt;="&amp;$B$3,'주문 접수 대장'!$A$4:$A$503,"&lt;="&amp;$D$3))</f>
        <v/>
      </c>
      <c r="F42" s="26">
        <f>IF($A42="","",SUMIFS('주문 접수 대장'!$K$4:$K$503,'주문 접수 대장'!$F$4:$F$503,$A42,'주문 접수 대장'!$A$4:$A$503,"&gt;="&amp;$B$3,'주문 접수 대장'!$A$4:$A$503,"&lt;="&amp;$D$3))</f>
        <v/>
      </c>
      <c r="G42" s="16">
        <f>IF($A42="","",SUMIFS('주문 접수 대장'!$H$4:$H$503,'주문 접수 대장'!$F$4:$F$503,$A42,'주문 접수 대장'!$A$4:$A$503,"&gt;="&amp;$B$3,'주문 접수 대장'!$A$4:$A$503,"&lt;="&amp;$D$3,'주문 접수 대장'!$O$4:$O$503,"&lt;&gt;납품완료",'주문 접수 대장'!$O$4:$O$503,"&lt;&gt;취소"))</f>
        <v/>
      </c>
      <c r="H42" s="25">
        <f>IF($A42="","",COUNTIFS('주문 접수 대장'!$F$4:$F$503,$A42,'주문 접수 대장'!$A$4:$A$503,"&gt;="&amp;$B$3,'주문 접수 대장'!$A$4:$A$503,"&lt;="&amp;$D$3,'주문 접수 대장'!$P$4:$P$503,"지연"))</f>
        <v/>
      </c>
      <c r="I42" s="25">
        <f>IF($A42="","",COUNTIFS('주문 접수 대장'!$F$4:$F$503,$A42,'주문 접수 대장'!$A$4:$A$503,"&gt;="&amp;$B$3,'주문 접수 대장'!$A$4:$A$503,"&lt;="&amp;$D$3,'주문 접수 대장'!$O$4:$O$503,"취소"))</f>
        <v/>
      </c>
      <c r="J42" s="27">
        <f>IF($A42="","",IF(COUNTIFS('주문 접수 대장'!$F$4:$F$503,$A42,'주문 접수 대장'!$I$4:$I$503,"&lt;&gt;"&amp;C42)&gt;0,"단위 섞임",""))</f>
        <v/>
      </c>
    </row>
    <row r="43">
      <c r="A43" s="23">
        <f>IFERROR(INDEX('주문 접수 대장'!$F$4:$F$503,MATCH(38,'주문 접수 대장'!$S$4:$S$503,0)),"")</f>
        <v/>
      </c>
      <c r="B43" s="24">
        <f>IF($A43="","",INDEX('주문 접수 대장'!$G$4:$G$503,MATCH($A43,'주문 접수 대장'!$F$4:$F$503,0))&amp;"")</f>
        <v/>
      </c>
      <c r="C43" s="14">
        <f>IF($A43="","",INDEX('주문 접수 대장'!$I$4:$I$503,MATCH($A43,'주문 접수 대장'!$F$4:$F$503,0))&amp;"")</f>
        <v/>
      </c>
      <c r="D43" s="25">
        <f>IF($A43="","",COUNTIFS('주문 접수 대장'!$F$4:$F$503,$A43,'주문 접수 대장'!$A$4:$A$503,"&gt;="&amp;$B$3,'주문 접수 대장'!$A$4:$A$503,"&lt;="&amp;$D$3))</f>
        <v/>
      </c>
      <c r="E43" s="16">
        <f>IF($A43="","",SUMIFS('주문 접수 대장'!$H$4:$H$503,'주문 접수 대장'!$F$4:$F$503,$A43,'주문 접수 대장'!$A$4:$A$503,"&gt;="&amp;$B$3,'주문 접수 대장'!$A$4:$A$503,"&lt;="&amp;$D$3))</f>
        <v/>
      </c>
      <c r="F43" s="26">
        <f>IF($A43="","",SUMIFS('주문 접수 대장'!$K$4:$K$503,'주문 접수 대장'!$F$4:$F$503,$A43,'주문 접수 대장'!$A$4:$A$503,"&gt;="&amp;$B$3,'주문 접수 대장'!$A$4:$A$503,"&lt;="&amp;$D$3))</f>
        <v/>
      </c>
      <c r="G43" s="16">
        <f>IF($A43="","",SUMIFS('주문 접수 대장'!$H$4:$H$503,'주문 접수 대장'!$F$4:$F$503,$A43,'주문 접수 대장'!$A$4:$A$503,"&gt;="&amp;$B$3,'주문 접수 대장'!$A$4:$A$503,"&lt;="&amp;$D$3,'주문 접수 대장'!$O$4:$O$503,"&lt;&gt;납품완료",'주문 접수 대장'!$O$4:$O$503,"&lt;&gt;취소"))</f>
        <v/>
      </c>
      <c r="H43" s="25">
        <f>IF($A43="","",COUNTIFS('주문 접수 대장'!$F$4:$F$503,$A43,'주문 접수 대장'!$A$4:$A$503,"&gt;="&amp;$B$3,'주문 접수 대장'!$A$4:$A$503,"&lt;="&amp;$D$3,'주문 접수 대장'!$P$4:$P$503,"지연"))</f>
        <v/>
      </c>
      <c r="I43" s="25">
        <f>IF($A43="","",COUNTIFS('주문 접수 대장'!$F$4:$F$503,$A43,'주문 접수 대장'!$A$4:$A$503,"&gt;="&amp;$B$3,'주문 접수 대장'!$A$4:$A$503,"&lt;="&amp;$D$3,'주문 접수 대장'!$O$4:$O$503,"취소"))</f>
        <v/>
      </c>
      <c r="J43" s="27">
        <f>IF($A43="","",IF(COUNTIFS('주문 접수 대장'!$F$4:$F$503,$A43,'주문 접수 대장'!$I$4:$I$503,"&lt;&gt;"&amp;C43)&gt;0,"단위 섞임",""))</f>
        <v/>
      </c>
    </row>
    <row r="44">
      <c r="A44" s="23">
        <f>IFERROR(INDEX('주문 접수 대장'!$F$4:$F$503,MATCH(39,'주문 접수 대장'!$S$4:$S$503,0)),"")</f>
        <v/>
      </c>
      <c r="B44" s="24">
        <f>IF($A44="","",INDEX('주문 접수 대장'!$G$4:$G$503,MATCH($A44,'주문 접수 대장'!$F$4:$F$503,0))&amp;"")</f>
        <v/>
      </c>
      <c r="C44" s="14">
        <f>IF($A44="","",INDEX('주문 접수 대장'!$I$4:$I$503,MATCH($A44,'주문 접수 대장'!$F$4:$F$503,0))&amp;"")</f>
        <v/>
      </c>
      <c r="D44" s="25">
        <f>IF($A44="","",COUNTIFS('주문 접수 대장'!$F$4:$F$503,$A44,'주문 접수 대장'!$A$4:$A$503,"&gt;="&amp;$B$3,'주문 접수 대장'!$A$4:$A$503,"&lt;="&amp;$D$3))</f>
        <v/>
      </c>
      <c r="E44" s="16">
        <f>IF($A44="","",SUMIFS('주문 접수 대장'!$H$4:$H$503,'주문 접수 대장'!$F$4:$F$503,$A44,'주문 접수 대장'!$A$4:$A$503,"&gt;="&amp;$B$3,'주문 접수 대장'!$A$4:$A$503,"&lt;="&amp;$D$3))</f>
        <v/>
      </c>
      <c r="F44" s="26">
        <f>IF($A44="","",SUMIFS('주문 접수 대장'!$K$4:$K$503,'주문 접수 대장'!$F$4:$F$503,$A44,'주문 접수 대장'!$A$4:$A$503,"&gt;="&amp;$B$3,'주문 접수 대장'!$A$4:$A$503,"&lt;="&amp;$D$3))</f>
        <v/>
      </c>
      <c r="G44" s="16">
        <f>IF($A44="","",SUMIFS('주문 접수 대장'!$H$4:$H$503,'주문 접수 대장'!$F$4:$F$503,$A44,'주문 접수 대장'!$A$4:$A$503,"&gt;="&amp;$B$3,'주문 접수 대장'!$A$4:$A$503,"&lt;="&amp;$D$3,'주문 접수 대장'!$O$4:$O$503,"&lt;&gt;납품완료",'주문 접수 대장'!$O$4:$O$503,"&lt;&gt;취소"))</f>
        <v/>
      </c>
      <c r="H44" s="25">
        <f>IF($A44="","",COUNTIFS('주문 접수 대장'!$F$4:$F$503,$A44,'주문 접수 대장'!$A$4:$A$503,"&gt;="&amp;$B$3,'주문 접수 대장'!$A$4:$A$503,"&lt;="&amp;$D$3,'주문 접수 대장'!$P$4:$P$503,"지연"))</f>
        <v/>
      </c>
      <c r="I44" s="25">
        <f>IF($A44="","",COUNTIFS('주문 접수 대장'!$F$4:$F$503,$A44,'주문 접수 대장'!$A$4:$A$503,"&gt;="&amp;$B$3,'주문 접수 대장'!$A$4:$A$503,"&lt;="&amp;$D$3,'주문 접수 대장'!$O$4:$O$503,"취소"))</f>
        <v/>
      </c>
      <c r="J44" s="27">
        <f>IF($A44="","",IF(COUNTIFS('주문 접수 대장'!$F$4:$F$503,$A44,'주문 접수 대장'!$I$4:$I$503,"&lt;&gt;"&amp;C44)&gt;0,"단위 섞임",""))</f>
        <v/>
      </c>
    </row>
    <row r="45">
      <c r="A45" s="23">
        <f>IFERROR(INDEX('주문 접수 대장'!$F$4:$F$503,MATCH(40,'주문 접수 대장'!$S$4:$S$503,0)),"")</f>
        <v/>
      </c>
      <c r="B45" s="24">
        <f>IF($A45="","",INDEX('주문 접수 대장'!$G$4:$G$503,MATCH($A45,'주문 접수 대장'!$F$4:$F$503,0))&amp;"")</f>
        <v/>
      </c>
      <c r="C45" s="14">
        <f>IF($A45="","",INDEX('주문 접수 대장'!$I$4:$I$503,MATCH($A45,'주문 접수 대장'!$F$4:$F$503,0))&amp;"")</f>
        <v/>
      </c>
      <c r="D45" s="25">
        <f>IF($A45="","",COUNTIFS('주문 접수 대장'!$F$4:$F$503,$A45,'주문 접수 대장'!$A$4:$A$503,"&gt;="&amp;$B$3,'주문 접수 대장'!$A$4:$A$503,"&lt;="&amp;$D$3))</f>
        <v/>
      </c>
      <c r="E45" s="16">
        <f>IF($A45="","",SUMIFS('주문 접수 대장'!$H$4:$H$503,'주문 접수 대장'!$F$4:$F$503,$A45,'주문 접수 대장'!$A$4:$A$503,"&gt;="&amp;$B$3,'주문 접수 대장'!$A$4:$A$503,"&lt;="&amp;$D$3))</f>
        <v/>
      </c>
      <c r="F45" s="26">
        <f>IF($A45="","",SUMIFS('주문 접수 대장'!$K$4:$K$503,'주문 접수 대장'!$F$4:$F$503,$A45,'주문 접수 대장'!$A$4:$A$503,"&gt;="&amp;$B$3,'주문 접수 대장'!$A$4:$A$503,"&lt;="&amp;$D$3))</f>
        <v/>
      </c>
      <c r="G45" s="16">
        <f>IF($A45="","",SUMIFS('주문 접수 대장'!$H$4:$H$503,'주문 접수 대장'!$F$4:$F$503,$A45,'주문 접수 대장'!$A$4:$A$503,"&gt;="&amp;$B$3,'주문 접수 대장'!$A$4:$A$503,"&lt;="&amp;$D$3,'주문 접수 대장'!$O$4:$O$503,"&lt;&gt;납품완료",'주문 접수 대장'!$O$4:$O$503,"&lt;&gt;취소"))</f>
        <v/>
      </c>
      <c r="H45" s="25">
        <f>IF($A45="","",COUNTIFS('주문 접수 대장'!$F$4:$F$503,$A45,'주문 접수 대장'!$A$4:$A$503,"&gt;="&amp;$B$3,'주문 접수 대장'!$A$4:$A$503,"&lt;="&amp;$D$3,'주문 접수 대장'!$P$4:$P$503,"지연"))</f>
        <v/>
      </c>
      <c r="I45" s="25">
        <f>IF($A45="","",COUNTIFS('주문 접수 대장'!$F$4:$F$503,$A45,'주문 접수 대장'!$A$4:$A$503,"&gt;="&amp;$B$3,'주문 접수 대장'!$A$4:$A$503,"&lt;="&amp;$D$3,'주문 접수 대장'!$O$4:$O$503,"취소"))</f>
        <v/>
      </c>
      <c r="J45" s="27">
        <f>IF($A45="","",IF(COUNTIFS('주문 접수 대장'!$F$4:$F$503,$A45,'주문 접수 대장'!$I$4:$I$503,"&lt;&gt;"&amp;C45)&gt;0,"단위 섞임",""))</f>
        <v/>
      </c>
    </row>
    <row r="46">
      <c r="A46" s="23">
        <f>IFERROR(INDEX('주문 접수 대장'!$F$4:$F$503,MATCH(41,'주문 접수 대장'!$S$4:$S$503,0)),"")</f>
        <v/>
      </c>
      <c r="B46" s="24">
        <f>IF($A46="","",INDEX('주문 접수 대장'!$G$4:$G$503,MATCH($A46,'주문 접수 대장'!$F$4:$F$503,0))&amp;"")</f>
        <v/>
      </c>
      <c r="C46" s="14">
        <f>IF($A46="","",INDEX('주문 접수 대장'!$I$4:$I$503,MATCH($A46,'주문 접수 대장'!$F$4:$F$503,0))&amp;"")</f>
        <v/>
      </c>
      <c r="D46" s="25">
        <f>IF($A46="","",COUNTIFS('주문 접수 대장'!$F$4:$F$503,$A46,'주문 접수 대장'!$A$4:$A$503,"&gt;="&amp;$B$3,'주문 접수 대장'!$A$4:$A$503,"&lt;="&amp;$D$3))</f>
        <v/>
      </c>
      <c r="E46" s="16">
        <f>IF($A46="","",SUMIFS('주문 접수 대장'!$H$4:$H$503,'주문 접수 대장'!$F$4:$F$503,$A46,'주문 접수 대장'!$A$4:$A$503,"&gt;="&amp;$B$3,'주문 접수 대장'!$A$4:$A$503,"&lt;="&amp;$D$3))</f>
        <v/>
      </c>
      <c r="F46" s="26">
        <f>IF($A46="","",SUMIFS('주문 접수 대장'!$K$4:$K$503,'주문 접수 대장'!$F$4:$F$503,$A46,'주문 접수 대장'!$A$4:$A$503,"&gt;="&amp;$B$3,'주문 접수 대장'!$A$4:$A$503,"&lt;="&amp;$D$3))</f>
        <v/>
      </c>
      <c r="G46" s="16">
        <f>IF($A46="","",SUMIFS('주문 접수 대장'!$H$4:$H$503,'주문 접수 대장'!$F$4:$F$503,$A46,'주문 접수 대장'!$A$4:$A$503,"&gt;="&amp;$B$3,'주문 접수 대장'!$A$4:$A$503,"&lt;="&amp;$D$3,'주문 접수 대장'!$O$4:$O$503,"&lt;&gt;납품완료",'주문 접수 대장'!$O$4:$O$503,"&lt;&gt;취소"))</f>
        <v/>
      </c>
      <c r="H46" s="25">
        <f>IF($A46="","",COUNTIFS('주문 접수 대장'!$F$4:$F$503,$A46,'주문 접수 대장'!$A$4:$A$503,"&gt;="&amp;$B$3,'주문 접수 대장'!$A$4:$A$503,"&lt;="&amp;$D$3,'주문 접수 대장'!$P$4:$P$503,"지연"))</f>
        <v/>
      </c>
      <c r="I46" s="25">
        <f>IF($A46="","",COUNTIFS('주문 접수 대장'!$F$4:$F$503,$A46,'주문 접수 대장'!$A$4:$A$503,"&gt;="&amp;$B$3,'주문 접수 대장'!$A$4:$A$503,"&lt;="&amp;$D$3,'주문 접수 대장'!$O$4:$O$503,"취소"))</f>
        <v/>
      </c>
      <c r="J46" s="27">
        <f>IF($A46="","",IF(COUNTIFS('주문 접수 대장'!$F$4:$F$503,$A46,'주문 접수 대장'!$I$4:$I$503,"&lt;&gt;"&amp;C46)&gt;0,"단위 섞임",""))</f>
        <v/>
      </c>
    </row>
    <row r="47">
      <c r="A47" s="23">
        <f>IFERROR(INDEX('주문 접수 대장'!$F$4:$F$503,MATCH(42,'주문 접수 대장'!$S$4:$S$503,0)),"")</f>
        <v/>
      </c>
      <c r="B47" s="24">
        <f>IF($A47="","",INDEX('주문 접수 대장'!$G$4:$G$503,MATCH($A47,'주문 접수 대장'!$F$4:$F$503,0))&amp;"")</f>
        <v/>
      </c>
      <c r="C47" s="14">
        <f>IF($A47="","",INDEX('주문 접수 대장'!$I$4:$I$503,MATCH($A47,'주문 접수 대장'!$F$4:$F$503,0))&amp;"")</f>
        <v/>
      </c>
      <c r="D47" s="25">
        <f>IF($A47="","",COUNTIFS('주문 접수 대장'!$F$4:$F$503,$A47,'주문 접수 대장'!$A$4:$A$503,"&gt;="&amp;$B$3,'주문 접수 대장'!$A$4:$A$503,"&lt;="&amp;$D$3))</f>
        <v/>
      </c>
      <c r="E47" s="16">
        <f>IF($A47="","",SUMIFS('주문 접수 대장'!$H$4:$H$503,'주문 접수 대장'!$F$4:$F$503,$A47,'주문 접수 대장'!$A$4:$A$503,"&gt;="&amp;$B$3,'주문 접수 대장'!$A$4:$A$503,"&lt;="&amp;$D$3))</f>
        <v/>
      </c>
      <c r="F47" s="26">
        <f>IF($A47="","",SUMIFS('주문 접수 대장'!$K$4:$K$503,'주문 접수 대장'!$F$4:$F$503,$A47,'주문 접수 대장'!$A$4:$A$503,"&gt;="&amp;$B$3,'주문 접수 대장'!$A$4:$A$503,"&lt;="&amp;$D$3))</f>
        <v/>
      </c>
      <c r="G47" s="16">
        <f>IF($A47="","",SUMIFS('주문 접수 대장'!$H$4:$H$503,'주문 접수 대장'!$F$4:$F$503,$A47,'주문 접수 대장'!$A$4:$A$503,"&gt;="&amp;$B$3,'주문 접수 대장'!$A$4:$A$503,"&lt;="&amp;$D$3,'주문 접수 대장'!$O$4:$O$503,"&lt;&gt;납품완료",'주문 접수 대장'!$O$4:$O$503,"&lt;&gt;취소"))</f>
        <v/>
      </c>
      <c r="H47" s="25">
        <f>IF($A47="","",COUNTIFS('주문 접수 대장'!$F$4:$F$503,$A47,'주문 접수 대장'!$A$4:$A$503,"&gt;="&amp;$B$3,'주문 접수 대장'!$A$4:$A$503,"&lt;="&amp;$D$3,'주문 접수 대장'!$P$4:$P$503,"지연"))</f>
        <v/>
      </c>
      <c r="I47" s="25">
        <f>IF($A47="","",COUNTIFS('주문 접수 대장'!$F$4:$F$503,$A47,'주문 접수 대장'!$A$4:$A$503,"&gt;="&amp;$B$3,'주문 접수 대장'!$A$4:$A$503,"&lt;="&amp;$D$3,'주문 접수 대장'!$O$4:$O$503,"취소"))</f>
        <v/>
      </c>
      <c r="J47" s="27">
        <f>IF($A47="","",IF(COUNTIFS('주문 접수 대장'!$F$4:$F$503,$A47,'주문 접수 대장'!$I$4:$I$503,"&lt;&gt;"&amp;C47)&gt;0,"단위 섞임",""))</f>
        <v/>
      </c>
    </row>
    <row r="48">
      <c r="A48" s="23">
        <f>IFERROR(INDEX('주문 접수 대장'!$F$4:$F$503,MATCH(43,'주문 접수 대장'!$S$4:$S$503,0)),"")</f>
        <v/>
      </c>
      <c r="B48" s="24">
        <f>IF($A48="","",INDEX('주문 접수 대장'!$G$4:$G$503,MATCH($A48,'주문 접수 대장'!$F$4:$F$503,0))&amp;"")</f>
        <v/>
      </c>
      <c r="C48" s="14">
        <f>IF($A48="","",INDEX('주문 접수 대장'!$I$4:$I$503,MATCH($A48,'주문 접수 대장'!$F$4:$F$503,0))&amp;"")</f>
        <v/>
      </c>
      <c r="D48" s="25">
        <f>IF($A48="","",COUNTIFS('주문 접수 대장'!$F$4:$F$503,$A48,'주문 접수 대장'!$A$4:$A$503,"&gt;="&amp;$B$3,'주문 접수 대장'!$A$4:$A$503,"&lt;="&amp;$D$3))</f>
        <v/>
      </c>
      <c r="E48" s="16">
        <f>IF($A48="","",SUMIFS('주문 접수 대장'!$H$4:$H$503,'주문 접수 대장'!$F$4:$F$503,$A48,'주문 접수 대장'!$A$4:$A$503,"&gt;="&amp;$B$3,'주문 접수 대장'!$A$4:$A$503,"&lt;="&amp;$D$3))</f>
        <v/>
      </c>
      <c r="F48" s="26">
        <f>IF($A48="","",SUMIFS('주문 접수 대장'!$K$4:$K$503,'주문 접수 대장'!$F$4:$F$503,$A48,'주문 접수 대장'!$A$4:$A$503,"&gt;="&amp;$B$3,'주문 접수 대장'!$A$4:$A$503,"&lt;="&amp;$D$3))</f>
        <v/>
      </c>
      <c r="G48" s="16">
        <f>IF($A48="","",SUMIFS('주문 접수 대장'!$H$4:$H$503,'주문 접수 대장'!$F$4:$F$503,$A48,'주문 접수 대장'!$A$4:$A$503,"&gt;="&amp;$B$3,'주문 접수 대장'!$A$4:$A$503,"&lt;="&amp;$D$3,'주문 접수 대장'!$O$4:$O$503,"&lt;&gt;납품완료",'주문 접수 대장'!$O$4:$O$503,"&lt;&gt;취소"))</f>
        <v/>
      </c>
      <c r="H48" s="25">
        <f>IF($A48="","",COUNTIFS('주문 접수 대장'!$F$4:$F$503,$A48,'주문 접수 대장'!$A$4:$A$503,"&gt;="&amp;$B$3,'주문 접수 대장'!$A$4:$A$503,"&lt;="&amp;$D$3,'주문 접수 대장'!$P$4:$P$503,"지연"))</f>
        <v/>
      </c>
      <c r="I48" s="25">
        <f>IF($A48="","",COUNTIFS('주문 접수 대장'!$F$4:$F$503,$A48,'주문 접수 대장'!$A$4:$A$503,"&gt;="&amp;$B$3,'주문 접수 대장'!$A$4:$A$503,"&lt;="&amp;$D$3,'주문 접수 대장'!$O$4:$O$503,"취소"))</f>
        <v/>
      </c>
      <c r="J48" s="27">
        <f>IF($A48="","",IF(COUNTIFS('주문 접수 대장'!$F$4:$F$503,$A48,'주문 접수 대장'!$I$4:$I$503,"&lt;&gt;"&amp;C48)&gt;0,"단위 섞임",""))</f>
        <v/>
      </c>
    </row>
    <row r="49">
      <c r="A49" s="23">
        <f>IFERROR(INDEX('주문 접수 대장'!$F$4:$F$503,MATCH(44,'주문 접수 대장'!$S$4:$S$503,0)),"")</f>
        <v/>
      </c>
      <c r="B49" s="24">
        <f>IF($A49="","",INDEX('주문 접수 대장'!$G$4:$G$503,MATCH($A49,'주문 접수 대장'!$F$4:$F$503,0))&amp;"")</f>
        <v/>
      </c>
      <c r="C49" s="14">
        <f>IF($A49="","",INDEX('주문 접수 대장'!$I$4:$I$503,MATCH($A49,'주문 접수 대장'!$F$4:$F$503,0))&amp;"")</f>
        <v/>
      </c>
      <c r="D49" s="25">
        <f>IF($A49="","",COUNTIFS('주문 접수 대장'!$F$4:$F$503,$A49,'주문 접수 대장'!$A$4:$A$503,"&gt;="&amp;$B$3,'주문 접수 대장'!$A$4:$A$503,"&lt;="&amp;$D$3))</f>
        <v/>
      </c>
      <c r="E49" s="16">
        <f>IF($A49="","",SUMIFS('주문 접수 대장'!$H$4:$H$503,'주문 접수 대장'!$F$4:$F$503,$A49,'주문 접수 대장'!$A$4:$A$503,"&gt;="&amp;$B$3,'주문 접수 대장'!$A$4:$A$503,"&lt;="&amp;$D$3))</f>
        <v/>
      </c>
      <c r="F49" s="26">
        <f>IF($A49="","",SUMIFS('주문 접수 대장'!$K$4:$K$503,'주문 접수 대장'!$F$4:$F$503,$A49,'주문 접수 대장'!$A$4:$A$503,"&gt;="&amp;$B$3,'주문 접수 대장'!$A$4:$A$503,"&lt;="&amp;$D$3))</f>
        <v/>
      </c>
      <c r="G49" s="16">
        <f>IF($A49="","",SUMIFS('주문 접수 대장'!$H$4:$H$503,'주문 접수 대장'!$F$4:$F$503,$A49,'주문 접수 대장'!$A$4:$A$503,"&gt;="&amp;$B$3,'주문 접수 대장'!$A$4:$A$503,"&lt;="&amp;$D$3,'주문 접수 대장'!$O$4:$O$503,"&lt;&gt;납품완료",'주문 접수 대장'!$O$4:$O$503,"&lt;&gt;취소"))</f>
        <v/>
      </c>
      <c r="H49" s="25">
        <f>IF($A49="","",COUNTIFS('주문 접수 대장'!$F$4:$F$503,$A49,'주문 접수 대장'!$A$4:$A$503,"&gt;="&amp;$B$3,'주문 접수 대장'!$A$4:$A$503,"&lt;="&amp;$D$3,'주문 접수 대장'!$P$4:$P$503,"지연"))</f>
        <v/>
      </c>
      <c r="I49" s="25">
        <f>IF($A49="","",COUNTIFS('주문 접수 대장'!$F$4:$F$503,$A49,'주문 접수 대장'!$A$4:$A$503,"&gt;="&amp;$B$3,'주문 접수 대장'!$A$4:$A$503,"&lt;="&amp;$D$3,'주문 접수 대장'!$O$4:$O$503,"취소"))</f>
        <v/>
      </c>
      <c r="J49" s="27">
        <f>IF($A49="","",IF(COUNTIFS('주문 접수 대장'!$F$4:$F$503,$A49,'주문 접수 대장'!$I$4:$I$503,"&lt;&gt;"&amp;C49)&gt;0,"단위 섞임",""))</f>
        <v/>
      </c>
    </row>
    <row r="50">
      <c r="A50" s="23">
        <f>IFERROR(INDEX('주문 접수 대장'!$F$4:$F$503,MATCH(45,'주문 접수 대장'!$S$4:$S$503,0)),"")</f>
        <v/>
      </c>
      <c r="B50" s="24">
        <f>IF($A50="","",INDEX('주문 접수 대장'!$G$4:$G$503,MATCH($A50,'주문 접수 대장'!$F$4:$F$503,0))&amp;"")</f>
        <v/>
      </c>
      <c r="C50" s="14">
        <f>IF($A50="","",INDEX('주문 접수 대장'!$I$4:$I$503,MATCH($A50,'주문 접수 대장'!$F$4:$F$503,0))&amp;"")</f>
        <v/>
      </c>
      <c r="D50" s="25">
        <f>IF($A50="","",COUNTIFS('주문 접수 대장'!$F$4:$F$503,$A50,'주문 접수 대장'!$A$4:$A$503,"&gt;="&amp;$B$3,'주문 접수 대장'!$A$4:$A$503,"&lt;="&amp;$D$3))</f>
        <v/>
      </c>
      <c r="E50" s="16">
        <f>IF($A50="","",SUMIFS('주문 접수 대장'!$H$4:$H$503,'주문 접수 대장'!$F$4:$F$503,$A50,'주문 접수 대장'!$A$4:$A$503,"&gt;="&amp;$B$3,'주문 접수 대장'!$A$4:$A$503,"&lt;="&amp;$D$3))</f>
        <v/>
      </c>
      <c r="F50" s="26">
        <f>IF($A50="","",SUMIFS('주문 접수 대장'!$K$4:$K$503,'주문 접수 대장'!$F$4:$F$503,$A50,'주문 접수 대장'!$A$4:$A$503,"&gt;="&amp;$B$3,'주문 접수 대장'!$A$4:$A$503,"&lt;="&amp;$D$3))</f>
        <v/>
      </c>
      <c r="G50" s="16">
        <f>IF($A50="","",SUMIFS('주문 접수 대장'!$H$4:$H$503,'주문 접수 대장'!$F$4:$F$503,$A50,'주문 접수 대장'!$A$4:$A$503,"&gt;="&amp;$B$3,'주문 접수 대장'!$A$4:$A$503,"&lt;="&amp;$D$3,'주문 접수 대장'!$O$4:$O$503,"&lt;&gt;납품완료",'주문 접수 대장'!$O$4:$O$503,"&lt;&gt;취소"))</f>
        <v/>
      </c>
      <c r="H50" s="25">
        <f>IF($A50="","",COUNTIFS('주문 접수 대장'!$F$4:$F$503,$A50,'주문 접수 대장'!$A$4:$A$503,"&gt;="&amp;$B$3,'주문 접수 대장'!$A$4:$A$503,"&lt;="&amp;$D$3,'주문 접수 대장'!$P$4:$P$503,"지연"))</f>
        <v/>
      </c>
      <c r="I50" s="25">
        <f>IF($A50="","",COUNTIFS('주문 접수 대장'!$F$4:$F$503,$A50,'주문 접수 대장'!$A$4:$A$503,"&gt;="&amp;$B$3,'주문 접수 대장'!$A$4:$A$503,"&lt;="&amp;$D$3,'주문 접수 대장'!$O$4:$O$503,"취소"))</f>
        <v/>
      </c>
      <c r="J50" s="27">
        <f>IF($A50="","",IF(COUNTIFS('주문 접수 대장'!$F$4:$F$503,$A50,'주문 접수 대장'!$I$4:$I$503,"&lt;&gt;"&amp;C50)&gt;0,"단위 섞임",""))</f>
        <v/>
      </c>
    </row>
    <row r="51">
      <c r="A51" s="23">
        <f>IFERROR(INDEX('주문 접수 대장'!$F$4:$F$503,MATCH(46,'주문 접수 대장'!$S$4:$S$503,0)),"")</f>
        <v/>
      </c>
      <c r="B51" s="24">
        <f>IF($A51="","",INDEX('주문 접수 대장'!$G$4:$G$503,MATCH($A51,'주문 접수 대장'!$F$4:$F$503,0))&amp;"")</f>
        <v/>
      </c>
      <c r="C51" s="14">
        <f>IF($A51="","",INDEX('주문 접수 대장'!$I$4:$I$503,MATCH($A51,'주문 접수 대장'!$F$4:$F$503,0))&amp;"")</f>
        <v/>
      </c>
      <c r="D51" s="25">
        <f>IF($A51="","",COUNTIFS('주문 접수 대장'!$F$4:$F$503,$A51,'주문 접수 대장'!$A$4:$A$503,"&gt;="&amp;$B$3,'주문 접수 대장'!$A$4:$A$503,"&lt;="&amp;$D$3))</f>
        <v/>
      </c>
      <c r="E51" s="16">
        <f>IF($A51="","",SUMIFS('주문 접수 대장'!$H$4:$H$503,'주문 접수 대장'!$F$4:$F$503,$A51,'주문 접수 대장'!$A$4:$A$503,"&gt;="&amp;$B$3,'주문 접수 대장'!$A$4:$A$503,"&lt;="&amp;$D$3))</f>
        <v/>
      </c>
      <c r="F51" s="26">
        <f>IF($A51="","",SUMIFS('주문 접수 대장'!$K$4:$K$503,'주문 접수 대장'!$F$4:$F$503,$A51,'주문 접수 대장'!$A$4:$A$503,"&gt;="&amp;$B$3,'주문 접수 대장'!$A$4:$A$503,"&lt;="&amp;$D$3))</f>
        <v/>
      </c>
      <c r="G51" s="16">
        <f>IF($A51="","",SUMIFS('주문 접수 대장'!$H$4:$H$503,'주문 접수 대장'!$F$4:$F$503,$A51,'주문 접수 대장'!$A$4:$A$503,"&gt;="&amp;$B$3,'주문 접수 대장'!$A$4:$A$503,"&lt;="&amp;$D$3,'주문 접수 대장'!$O$4:$O$503,"&lt;&gt;납품완료",'주문 접수 대장'!$O$4:$O$503,"&lt;&gt;취소"))</f>
        <v/>
      </c>
      <c r="H51" s="25">
        <f>IF($A51="","",COUNTIFS('주문 접수 대장'!$F$4:$F$503,$A51,'주문 접수 대장'!$A$4:$A$503,"&gt;="&amp;$B$3,'주문 접수 대장'!$A$4:$A$503,"&lt;="&amp;$D$3,'주문 접수 대장'!$P$4:$P$503,"지연"))</f>
        <v/>
      </c>
      <c r="I51" s="25">
        <f>IF($A51="","",COUNTIFS('주문 접수 대장'!$F$4:$F$503,$A51,'주문 접수 대장'!$A$4:$A$503,"&gt;="&amp;$B$3,'주문 접수 대장'!$A$4:$A$503,"&lt;="&amp;$D$3,'주문 접수 대장'!$O$4:$O$503,"취소"))</f>
        <v/>
      </c>
      <c r="J51" s="27">
        <f>IF($A51="","",IF(COUNTIFS('주문 접수 대장'!$F$4:$F$503,$A51,'주문 접수 대장'!$I$4:$I$503,"&lt;&gt;"&amp;C51)&gt;0,"단위 섞임",""))</f>
        <v/>
      </c>
    </row>
    <row r="52">
      <c r="A52" s="23">
        <f>IFERROR(INDEX('주문 접수 대장'!$F$4:$F$503,MATCH(47,'주문 접수 대장'!$S$4:$S$503,0)),"")</f>
        <v/>
      </c>
      <c r="B52" s="24">
        <f>IF($A52="","",INDEX('주문 접수 대장'!$G$4:$G$503,MATCH($A52,'주문 접수 대장'!$F$4:$F$503,0))&amp;"")</f>
        <v/>
      </c>
      <c r="C52" s="14">
        <f>IF($A52="","",INDEX('주문 접수 대장'!$I$4:$I$503,MATCH($A52,'주문 접수 대장'!$F$4:$F$503,0))&amp;"")</f>
        <v/>
      </c>
      <c r="D52" s="25">
        <f>IF($A52="","",COUNTIFS('주문 접수 대장'!$F$4:$F$503,$A52,'주문 접수 대장'!$A$4:$A$503,"&gt;="&amp;$B$3,'주문 접수 대장'!$A$4:$A$503,"&lt;="&amp;$D$3))</f>
        <v/>
      </c>
      <c r="E52" s="16">
        <f>IF($A52="","",SUMIFS('주문 접수 대장'!$H$4:$H$503,'주문 접수 대장'!$F$4:$F$503,$A52,'주문 접수 대장'!$A$4:$A$503,"&gt;="&amp;$B$3,'주문 접수 대장'!$A$4:$A$503,"&lt;="&amp;$D$3))</f>
        <v/>
      </c>
      <c r="F52" s="26">
        <f>IF($A52="","",SUMIFS('주문 접수 대장'!$K$4:$K$503,'주문 접수 대장'!$F$4:$F$503,$A52,'주문 접수 대장'!$A$4:$A$503,"&gt;="&amp;$B$3,'주문 접수 대장'!$A$4:$A$503,"&lt;="&amp;$D$3))</f>
        <v/>
      </c>
      <c r="G52" s="16">
        <f>IF($A52="","",SUMIFS('주문 접수 대장'!$H$4:$H$503,'주문 접수 대장'!$F$4:$F$503,$A52,'주문 접수 대장'!$A$4:$A$503,"&gt;="&amp;$B$3,'주문 접수 대장'!$A$4:$A$503,"&lt;="&amp;$D$3,'주문 접수 대장'!$O$4:$O$503,"&lt;&gt;납품완료",'주문 접수 대장'!$O$4:$O$503,"&lt;&gt;취소"))</f>
        <v/>
      </c>
      <c r="H52" s="25">
        <f>IF($A52="","",COUNTIFS('주문 접수 대장'!$F$4:$F$503,$A52,'주문 접수 대장'!$A$4:$A$503,"&gt;="&amp;$B$3,'주문 접수 대장'!$A$4:$A$503,"&lt;="&amp;$D$3,'주문 접수 대장'!$P$4:$P$503,"지연"))</f>
        <v/>
      </c>
      <c r="I52" s="25">
        <f>IF($A52="","",COUNTIFS('주문 접수 대장'!$F$4:$F$503,$A52,'주문 접수 대장'!$A$4:$A$503,"&gt;="&amp;$B$3,'주문 접수 대장'!$A$4:$A$503,"&lt;="&amp;$D$3,'주문 접수 대장'!$O$4:$O$503,"취소"))</f>
        <v/>
      </c>
      <c r="J52" s="27">
        <f>IF($A52="","",IF(COUNTIFS('주문 접수 대장'!$F$4:$F$503,$A52,'주문 접수 대장'!$I$4:$I$503,"&lt;&gt;"&amp;C52)&gt;0,"단위 섞임",""))</f>
        <v/>
      </c>
    </row>
    <row r="53">
      <c r="A53" s="23">
        <f>IFERROR(INDEX('주문 접수 대장'!$F$4:$F$503,MATCH(48,'주문 접수 대장'!$S$4:$S$503,0)),"")</f>
        <v/>
      </c>
      <c r="B53" s="24">
        <f>IF($A53="","",INDEX('주문 접수 대장'!$G$4:$G$503,MATCH($A53,'주문 접수 대장'!$F$4:$F$503,0))&amp;"")</f>
        <v/>
      </c>
      <c r="C53" s="14">
        <f>IF($A53="","",INDEX('주문 접수 대장'!$I$4:$I$503,MATCH($A53,'주문 접수 대장'!$F$4:$F$503,0))&amp;"")</f>
        <v/>
      </c>
      <c r="D53" s="25">
        <f>IF($A53="","",COUNTIFS('주문 접수 대장'!$F$4:$F$503,$A53,'주문 접수 대장'!$A$4:$A$503,"&gt;="&amp;$B$3,'주문 접수 대장'!$A$4:$A$503,"&lt;="&amp;$D$3))</f>
        <v/>
      </c>
      <c r="E53" s="16">
        <f>IF($A53="","",SUMIFS('주문 접수 대장'!$H$4:$H$503,'주문 접수 대장'!$F$4:$F$503,$A53,'주문 접수 대장'!$A$4:$A$503,"&gt;="&amp;$B$3,'주문 접수 대장'!$A$4:$A$503,"&lt;="&amp;$D$3))</f>
        <v/>
      </c>
      <c r="F53" s="26">
        <f>IF($A53="","",SUMIFS('주문 접수 대장'!$K$4:$K$503,'주문 접수 대장'!$F$4:$F$503,$A53,'주문 접수 대장'!$A$4:$A$503,"&gt;="&amp;$B$3,'주문 접수 대장'!$A$4:$A$503,"&lt;="&amp;$D$3))</f>
        <v/>
      </c>
      <c r="G53" s="16">
        <f>IF($A53="","",SUMIFS('주문 접수 대장'!$H$4:$H$503,'주문 접수 대장'!$F$4:$F$503,$A53,'주문 접수 대장'!$A$4:$A$503,"&gt;="&amp;$B$3,'주문 접수 대장'!$A$4:$A$503,"&lt;="&amp;$D$3,'주문 접수 대장'!$O$4:$O$503,"&lt;&gt;납품완료",'주문 접수 대장'!$O$4:$O$503,"&lt;&gt;취소"))</f>
        <v/>
      </c>
      <c r="H53" s="25">
        <f>IF($A53="","",COUNTIFS('주문 접수 대장'!$F$4:$F$503,$A53,'주문 접수 대장'!$A$4:$A$503,"&gt;="&amp;$B$3,'주문 접수 대장'!$A$4:$A$503,"&lt;="&amp;$D$3,'주문 접수 대장'!$P$4:$P$503,"지연"))</f>
        <v/>
      </c>
      <c r="I53" s="25">
        <f>IF($A53="","",COUNTIFS('주문 접수 대장'!$F$4:$F$503,$A53,'주문 접수 대장'!$A$4:$A$503,"&gt;="&amp;$B$3,'주문 접수 대장'!$A$4:$A$503,"&lt;="&amp;$D$3,'주문 접수 대장'!$O$4:$O$503,"취소"))</f>
        <v/>
      </c>
      <c r="J53" s="27">
        <f>IF($A53="","",IF(COUNTIFS('주문 접수 대장'!$F$4:$F$503,$A53,'주문 접수 대장'!$I$4:$I$503,"&lt;&gt;"&amp;C53)&gt;0,"단위 섞임",""))</f>
        <v/>
      </c>
    </row>
    <row r="54">
      <c r="A54" s="23">
        <f>IFERROR(INDEX('주문 접수 대장'!$F$4:$F$503,MATCH(49,'주문 접수 대장'!$S$4:$S$503,0)),"")</f>
        <v/>
      </c>
      <c r="B54" s="24">
        <f>IF($A54="","",INDEX('주문 접수 대장'!$G$4:$G$503,MATCH($A54,'주문 접수 대장'!$F$4:$F$503,0))&amp;"")</f>
        <v/>
      </c>
      <c r="C54" s="14">
        <f>IF($A54="","",INDEX('주문 접수 대장'!$I$4:$I$503,MATCH($A54,'주문 접수 대장'!$F$4:$F$503,0))&amp;"")</f>
        <v/>
      </c>
      <c r="D54" s="25">
        <f>IF($A54="","",COUNTIFS('주문 접수 대장'!$F$4:$F$503,$A54,'주문 접수 대장'!$A$4:$A$503,"&gt;="&amp;$B$3,'주문 접수 대장'!$A$4:$A$503,"&lt;="&amp;$D$3))</f>
        <v/>
      </c>
      <c r="E54" s="16">
        <f>IF($A54="","",SUMIFS('주문 접수 대장'!$H$4:$H$503,'주문 접수 대장'!$F$4:$F$503,$A54,'주문 접수 대장'!$A$4:$A$503,"&gt;="&amp;$B$3,'주문 접수 대장'!$A$4:$A$503,"&lt;="&amp;$D$3))</f>
        <v/>
      </c>
      <c r="F54" s="26">
        <f>IF($A54="","",SUMIFS('주문 접수 대장'!$K$4:$K$503,'주문 접수 대장'!$F$4:$F$503,$A54,'주문 접수 대장'!$A$4:$A$503,"&gt;="&amp;$B$3,'주문 접수 대장'!$A$4:$A$503,"&lt;="&amp;$D$3))</f>
        <v/>
      </c>
      <c r="G54" s="16">
        <f>IF($A54="","",SUMIFS('주문 접수 대장'!$H$4:$H$503,'주문 접수 대장'!$F$4:$F$503,$A54,'주문 접수 대장'!$A$4:$A$503,"&gt;="&amp;$B$3,'주문 접수 대장'!$A$4:$A$503,"&lt;="&amp;$D$3,'주문 접수 대장'!$O$4:$O$503,"&lt;&gt;납품완료",'주문 접수 대장'!$O$4:$O$503,"&lt;&gt;취소"))</f>
        <v/>
      </c>
      <c r="H54" s="25">
        <f>IF($A54="","",COUNTIFS('주문 접수 대장'!$F$4:$F$503,$A54,'주문 접수 대장'!$A$4:$A$503,"&gt;="&amp;$B$3,'주문 접수 대장'!$A$4:$A$503,"&lt;="&amp;$D$3,'주문 접수 대장'!$P$4:$P$503,"지연"))</f>
        <v/>
      </c>
      <c r="I54" s="25">
        <f>IF($A54="","",COUNTIFS('주문 접수 대장'!$F$4:$F$503,$A54,'주문 접수 대장'!$A$4:$A$503,"&gt;="&amp;$B$3,'주문 접수 대장'!$A$4:$A$503,"&lt;="&amp;$D$3,'주문 접수 대장'!$O$4:$O$503,"취소"))</f>
        <v/>
      </c>
      <c r="J54" s="27">
        <f>IF($A54="","",IF(COUNTIFS('주문 접수 대장'!$F$4:$F$503,$A54,'주문 접수 대장'!$I$4:$I$503,"&lt;&gt;"&amp;C54)&gt;0,"단위 섞임",""))</f>
        <v/>
      </c>
    </row>
    <row r="55">
      <c r="A55" s="23">
        <f>IFERROR(INDEX('주문 접수 대장'!$F$4:$F$503,MATCH(50,'주문 접수 대장'!$S$4:$S$503,0)),"")</f>
        <v/>
      </c>
      <c r="B55" s="24">
        <f>IF($A55="","",INDEX('주문 접수 대장'!$G$4:$G$503,MATCH($A55,'주문 접수 대장'!$F$4:$F$503,0))&amp;"")</f>
        <v/>
      </c>
      <c r="C55" s="14">
        <f>IF($A55="","",INDEX('주문 접수 대장'!$I$4:$I$503,MATCH($A55,'주문 접수 대장'!$F$4:$F$503,0))&amp;"")</f>
        <v/>
      </c>
      <c r="D55" s="25">
        <f>IF($A55="","",COUNTIFS('주문 접수 대장'!$F$4:$F$503,$A55,'주문 접수 대장'!$A$4:$A$503,"&gt;="&amp;$B$3,'주문 접수 대장'!$A$4:$A$503,"&lt;="&amp;$D$3))</f>
        <v/>
      </c>
      <c r="E55" s="16">
        <f>IF($A55="","",SUMIFS('주문 접수 대장'!$H$4:$H$503,'주문 접수 대장'!$F$4:$F$503,$A55,'주문 접수 대장'!$A$4:$A$503,"&gt;="&amp;$B$3,'주문 접수 대장'!$A$4:$A$503,"&lt;="&amp;$D$3))</f>
        <v/>
      </c>
      <c r="F55" s="26">
        <f>IF($A55="","",SUMIFS('주문 접수 대장'!$K$4:$K$503,'주문 접수 대장'!$F$4:$F$503,$A55,'주문 접수 대장'!$A$4:$A$503,"&gt;="&amp;$B$3,'주문 접수 대장'!$A$4:$A$503,"&lt;="&amp;$D$3))</f>
        <v/>
      </c>
      <c r="G55" s="16">
        <f>IF($A55="","",SUMIFS('주문 접수 대장'!$H$4:$H$503,'주문 접수 대장'!$F$4:$F$503,$A55,'주문 접수 대장'!$A$4:$A$503,"&gt;="&amp;$B$3,'주문 접수 대장'!$A$4:$A$503,"&lt;="&amp;$D$3,'주문 접수 대장'!$O$4:$O$503,"&lt;&gt;납품완료",'주문 접수 대장'!$O$4:$O$503,"&lt;&gt;취소"))</f>
        <v/>
      </c>
      <c r="H55" s="25">
        <f>IF($A55="","",COUNTIFS('주문 접수 대장'!$F$4:$F$503,$A55,'주문 접수 대장'!$A$4:$A$503,"&gt;="&amp;$B$3,'주문 접수 대장'!$A$4:$A$503,"&lt;="&amp;$D$3,'주문 접수 대장'!$P$4:$P$503,"지연"))</f>
        <v/>
      </c>
      <c r="I55" s="25">
        <f>IF($A55="","",COUNTIFS('주문 접수 대장'!$F$4:$F$503,$A55,'주문 접수 대장'!$A$4:$A$503,"&gt;="&amp;$B$3,'주문 접수 대장'!$A$4:$A$503,"&lt;="&amp;$D$3,'주문 접수 대장'!$O$4:$O$503,"취소"))</f>
        <v/>
      </c>
      <c r="J55" s="27">
        <f>IF($A55="","",IF(COUNTIFS('주문 접수 대장'!$F$4:$F$503,$A55,'주문 접수 대장'!$I$4:$I$503,"&lt;&gt;"&amp;C55)&gt;0,"단위 섞임",""))</f>
        <v/>
      </c>
    </row>
    <row r="56">
      <c r="A56" s="23">
        <f>IFERROR(INDEX('주문 접수 대장'!$F$4:$F$503,MATCH(51,'주문 접수 대장'!$S$4:$S$503,0)),"")</f>
        <v/>
      </c>
      <c r="B56" s="24">
        <f>IF($A56="","",INDEX('주문 접수 대장'!$G$4:$G$503,MATCH($A56,'주문 접수 대장'!$F$4:$F$503,0))&amp;"")</f>
        <v/>
      </c>
      <c r="C56" s="14">
        <f>IF($A56="","",INDEX('주문 접수 대장'!$I$4:$I$503,MATCH($A56,'주문 접수 대장'!$F$4:$F$503,0))&amp;"")</f>
        <v/>
      </c>
      <c r="D56" s="25">
        <f>IF($A56="","",COUNTIFS('주문 접수 대장'!$F$4:$F$503,$A56,'주문 접수 대장'!$A$4:$A$503,"&gt;="&amp;$B$3,'주문 접수 대장'!$A$4:$A$503,"&lt;="&amp;$D$3))</f>
        <v/>
      </c>
      <c r="E56" s="16">
        <f>IF($A56="","",SUMIFS('주문 접수 대장'!$H$4:$H$503,'주문 접수 대장'!$F$4:$F$503,$A56,'주문 접수 대장'!$A$4:$A$503,"&gt;="&amp;$B$3,'주문 접수 대장'!$A$4:$A$503,"&lt;="&amp;$D$3))</f>
        <v/>
      </c>
      <c r="F56" s="26">
        <f>IF($A56="","",SUMIFS('주문 접수 대장'!$K$4:$K$503,'주문 접수 대장'!$F$4:$F$503,$A56,'주문 접수 대장'!$A$4:$A$503,"&gt;="&amp;$B$3,'주문 접수 대장'!$A$4:$A$503,"&lt;="&amp;$D$3))</f>
        <v/>
      </c>
      <c r="G56" s="16">
        <f>IF($A56="","",SUMIFS('주문 접수 대장'!$H$4:$H$503,'주문 접수 대장'!$F$4:$F$503,$A56,'주문 접수 대장'!$A$4:$A$503,"&gt;="&amp;$B$3,'주문 접수 대장'!$A$4:$A$503,"&lt;="&amp;$D$3,'주문 접수 대장'!$O$4:$O$503,"&lt;&gt;납품완료",'주문 접수 대장'!$O$4:$O$503,"&lt;&gt;취소"))</f>
        <v/>
      </c>
      <c r="H56" s="25">
        <f>IF($A56="","",COUNTIFS('주문 접수 대장'!$F$4:$F$503,$A56,'주문 접수 대장'!$A$4:$A$503,"&gt;="&amp;$B$3,'주문 접수 대장'!$A$4:$A$503,"&lt;="&amp;$D$3,'주문 접수 대장'!$P$4:$P$503,"지연"))</f>
        <v/>
      </c>
      <c r="I56" s="25">
        <f>IF($A56="","",COUNTIFS('주문 접수 대장'!$F$4:$F$503,$A56,'주문 접수 대장'!$A$4:$A$503,"&gt;="&amp;$B$3,'주문 접수 대장'!$A$4:$A$503,"&lt;="&amp;$D$3,'주문 접수 대장'!$O$4:$O$503,"취소"))</f>
        <v/>
      </c>
      <c r="J56" s="27">
        <f>IF($A56="","",IF(COUNTIFS('주문 접수 대장'!$F$4:$F$503,$A56,'주문 접수 대장'!$I$4:$I$503,"&lt;&gt;"&amp;C56)&gt;0,"단위 섞임",""))</f>
        <v/>
      </c>
    </row>
    <row r="57">
      <c r="A57" s="23">
        <f>IFERROR(INDEX('주문 접수 대장'!$F$4:$F$503,MATCH(52,'주문 접수 대장'!$S$4:$S$503,0)),"")</f>
        <v/>
      </c>
      <c r="B57" s="24">
        <f>IF($A57="","",INDEX('주문 접수 대장'!$G$4:$G$503,MATCH($A57,'주문 접수 대장'!$F$4:$F$503,0))&amp;"")</f>
        <v/>
      </c>
      <c r="C57" s="14">
        <f>IF($A57="","",INDEX('주문 접수 대장'!$I$4:$I$503,MATCH($A57,'주문 접수 대장'!$F$4:$F$503,0))&amp;"")</f>
        <v/>
      </c>
      <c r="D57" s="25">
        <f>IF($A57="","",COUNTIFS('주문 접수 대장'!$F$4:$F$503,$A57,'주문 접수 대장'!$A$4:$A$503,"&gt;="&amp;$B$3,'주문 접수 대장'!$A$4:$A$503,"&lt;="&amp;$D$3))</f>
        <v/>
      </c>
      <c r="E57" s="16">
        <f>IF($A57="","",SUMIFS('주문 접수 대장'!$H$4:$H$503,'주문 접수 대장'!$F$4:$F$503,$A57,'주문 접수 대장'!$A$4:$A$503,"&gt;="&amp;$B$3,'주문 접수 대장'!$A$4:$A$503,"&lt;="&amp;$D$3))</f>
        <v/>
      </c>
      <c r="F57" s="26">
        <f>IF($A57="","",SUMIFS('주문 접수 대장'!$K$4:$K$503,'주문 접수 대장'!$F$4:$F$503,$A57,'주문 접수 대장'!$A$4:$A$503,"&gt;="&amp;$B$3,'주문 접수 대장'!$A$4:$A$503,"&lt;="&amp;$D$3))</f>
        <v/>
      </c>
      <c r="G57" s="16">
        <f>IF($A57="","",SUMIFS('주문 접수 대장'!$H$4:$H$503,'주문 접수 대장'!$F$4:$F$503,$A57,'주문 접수 대장'!$A$4:$A$503,"&gt;="&amp;$B$3,'주문 접수 대장'!$A$4:$A$503,"&lt;="&amp;$D$3,'주문 접수 대장'!$O$4:$O$503,"&lt;&gt;납품완료",'주문 접수 대장'!$O$4:$O$503,"&lt;&gt;취소"))</f>
        <v/>
      </c>
      <c r="H57" s="25">
        <f>IF($A57="","",COUNTIFS('주문 접수 대장'!$F$4:$F$503,$A57,'주문 접수 대장'!$A$4:$A$503,"&gt;="&amp;$B$3,'주문 접수 대장'!$A$4:$A$503,"&lt;="&amp;$D$3,'주문 접수 대장'!$P$4:$P$503,"지연"))</f>
        <v/>
      </c>
      <c r="I57" s="25">
        <f>IF($A57="","",COUNTIFS('주문 접수 대장'!$F$4:$F$503,$A57,'주문 접수 대장'!$A$4:$A$503,"&gt;="&amp;$B$3,'주문 접수 대장'!$A$4:$A$503,"&lt;="&amp;$D$3,'주문 접수 대장'!$O$4:$O$503,"취소"))</f>
        <v/>
      </c>
      <c r="J57" s="27">
        <f>IF($A57="","",IF(COUNTIFS('주문 접수 대장'!$F$4:$F$503,$A57,'주문 접수 대장'!$I$4:$I$503,"&lt;&gt;"&amp;C57)&gt;0,"단위 섞임",""))</f>
        <v/>
      </c>
    </row>
    <row r="58">
      <c r="A58" s="23">
        <f>IFERROR(INDEX('주문 접수 대장'!$F$4:$F$503,MATCH(53,'주문 접수 대장'!$S$4:$S$503,0)),"")</f>
        <v/>
      </c>
      <c r="B58" s="24">
        <f>IF($A58="","",INDEX('주문 접수 대장'!$G$4:$G$503,MATCH($A58,'주문 접수 대장'!$F$4:$F$503,0))&amp;"")</f>
        <v/>
      </c>
      <c r="C58" s="14">
        <f>IF($A58="","",INDEX('주문 접수 대장'!$I$4:$I$503,MATCH($A58,'주문 접수 대장'!$F$4:$F$503,0))&amp;"")</f>
        <v/>
      </c>
      <c r="D58" s="25">
        <f>IF($A58="","",COUNTIFS('주문 접수 대장'!$F$4:$F$503,$A58,'주문 접수 대장'!$A$4:$A$503,"&gt;="&amp;$B$3,'주문 접수 대장'!$A$4:$A$503,"&lt;="&amp;$D$3))</f>
        <v/>
      </c>
      <c r="E58" s="16">
        <f>IF($A58="","",SUMIFS('주문 접수 대장'!$H$4:$H$503,'주문 접수 대장'!$F$4:$F$503,$A58,'주문 접수 대장'!$A$4:$A$503,"&gt;="&amp;$B$3,'주문 접수 대장'!$A$4:$A$503,"&lt;="&amp;$D$3))</f>
        <v/>
      </c>
      <c r="F58" s="26">
        <f>IF($A58="","",SUMIFS('주문 접수 대장'!$K$4:$K$503,'주문 접수 대장'!$F$4:$F$503,$A58,'주문 접수 대장'!$A$4:$A$503,"&gt;="&amp;$B$3,'주문 접수 대장'!$A$4:$A$503,"&lt;="&amp;$D$3))</f>
        <v/>
      </c>
      <c r="G58" s="16">
        <f>IF($A58="","",SUMIFS('주문 접수 대장'!$H$4:$H$503,'주문 접수 대장'!$F$4:$F$503,$A58,'주문 접수 대장'!$A$4:$A$503,"&gt;="&amp;$B$3,'주문 접수 대장'!$A$4:$A$503,"&lt;="&amp;$D$3,'주문 접수 대장'!$O$4:$O$503,"&lt;&gt;납품완료",'주문 접수 대장'!$O$4:$O$503,"&lt;&gt;취소"))</f>
        <v/>
      </c>
      <c r="H58" s="25">
        <f>IF($A58="","",COUNTIFS('주문 접수 대장'!$F$4:$F$503,$A58,'주문 접수 대장'!$A$4:$A$503,"&gt;="&amp;$B$3,'주문 접수 대장'!$A$4:$A$503,"&lt;="&amp;$D$3,'주문 접수 대장'!$P$4:$P$503,"지연"))</f>
        <v/>
      </c>
      <c r="I58" s="25">
        <f>IF($A58="","",COUNTIFS('주문 접수 대장'!$F$4:$F$503,$A58,'주문 접수 대장'!$A$4:$A$503,"&gt;="&amp;$B$3,'주문 접수 대장'!$A$4:$A$503,"&lt;="&amp;$D$3,'주문 접수 대장'!$O$4:$O$503,"취소"))</f>
        <v/>
      </c>
      <c r="J58" s="27">
        <f>IF($A58="","",IF(COUNTIFS('주문 접수 대장'!$F$4:$F$503,$A58,'주문 접수 대장'!$I$4:$I$503,"&lt;&gt;"&amp;C58)&gt;0,"단위 섞임",""))</f>
        <v/>
      </c>
    </row>
    <row r="59">
      <c r="A59" s="23">
        <f>IFERROR(INDEX('주문 접수 대장'!$F$4:$F$503,MATCH(54,'주문 접수 대장'!$S$4:$S$503,0)),"")</f>
        <v/>
      </c>
      <c r="B59" s="24">
        <f>IF($A59="","",INDEX('주문 접수 대장'!$G$4:$G$503,MATCH($A59,'주문 접수 대장'!$F$4:$F$503,0))&amp;"")</f>
        <v/>
      </c>
      <c r="C59" s="14">
        <f>IF($A59="","",INDEX('주문 접수 대장'!$I$4:$I$503,MATCH($A59,'주문 접수 대장'!$F$4:$F$503,0))&amp;"")</f>
        <v/>
      </c>
      <c r="D59" s="25">
        <f>IF($A59="","",COUNTIFS('주문 접수 대장'!$F$4:$F$503,$A59,'주문 접수 대장'!$A$4:$A$503,"&gt;="&amp;$B$3,'주문 접수 대장'!$A$4:$A$503,"&lt;="&amp;$D$3))</f>
        <v/>
      </c>
      <c r="E59" s="16">
        <f>IF($A59="","",SUMIFS('주문 접수 대장'!$H$4:$H$503,'주문 접수 대장'!$F$4:$F$503,$A59,'주문 접수 대장'!$A$4:$A$503,"&gt;="&amp;$B$3,'주문 접수 대장'!$A$4:$A$503,"&lt;="&amp;$D$3))</f>
        <v/>
      </c>
      <c r="F59" s="26">
        <f>IF($A59="","",SUMIFS('주문 접수 대장'!$K$4:$K$503,'주문 접수 대장'!$F$4:$F$503,$A59,'주문 접수 대장'!$A$4:$A$503,"&gt;="&amp;$B$3,'주문 접수 대장'!$A$4:$A$503,"&lt;="&amp;$D$3))</f>
        <v/>
      </c>
      <c r="G59" s="16">
        <f>IF($A59="","",SUMIFS('주문 접수 대장'!$H$4:$H$503,'주문 접수 대장'!$F$4:$F$503,$A59,'주문 접수 대장'!$A$4:$A$503,"&gt;="&amp;$B$3,'주문 접수 대장'!$A$4:$A$503,"&lt;="&amp;$D$3,'주문 접수 대장'!$O$4:$O$503,"&lt;&gt;납품완료",'주문 접수 대장'!$O$4:$O$503,"&lt;&gt;취소"))</f>
        <v/>
      </c>
      <c r="H59" s="25">
        <f>IF($A59="","",COUNTIFS('주문 접수 대장'!$F$4:$F$503,$A59,'주문 접수 대장'!$A$4:$A$503,"&gt;="&amp;$B$3,'주문 접수 대장'!$A$4:$A$503,"&lt;="&amp;$D$3,'주문 접수 대장'!$P$4:$P$503,"지연"))</f>
        <v/>
      </c>
      <c r="I59" s="25">
        <f>IF($A59="","",COUNTIFS('주문 접수 대장'!$F$4:$F$503,$A59,'주문 접수 대장'!$A$4:$A$503,"&gt;="&amp;$B$3,'주문 접수 대장'!$A$4:$A$503,"&lt;="&amp;$D$3,'주문 접수 대장'!$O$4:$O$503,"취소"))</f>
        <v/>
      </c>
      <c r="J59" s="27">
        <f>IF($A59="","",IF(COUNTIFS('주문 접수 대장'!$F$4:$F$503,$A59,'주문 접수 대장'!$I$4:$I$503,"&lt;&gt;"&amp;C59)&gt;0,"단위 섞임",""))</f>
        <v/>
      </c>
    </row>
    <row r="60">
      <c r="A60" s="23">
        <f>IFERROR(INDEX('주문 접수 대장'!$F$4:$F$503,MATCH(55,'주문 접수 대장'!$S$4:$S$503,0)),"")</f>
        <v/>
      </c>
      <c r="B60" s="24">
        <f>IF($A60="","",INDEX('주문 접수 대장'!$G$4:$G$503,MATCH($A60,'주문 접수 대장'!$F$4:$F$503,0))&amp;"")</f>
        <v/>
      </c>
      <c r="C60" s="14">
        <f>IF($A60="","",INDEX('주문 접수 대장'!$I$4:$I$503,MATCH($A60,'주문 접수 대장'!$F$4:$F$503,0))&amp;"")</f>
        <v/>
      </c>
      <c r="D60" s="25">
        <f>IF($A60="","",COUNTIFS('주문 접수 대장'!$F$4:$F$503,$A60,'주문 접수 대장'!$A$4:$A$503,"&gt;="&amp;$B$3,'주문 접수 대장'!$A$4:$A$503,"&lt;="&amp;$D$3))</f>
        <v/>
      </c>
      <c r="E60" s="16">
        <f>IF($A60="","",SUMIFS('주문 접수 대장'!$H$4:$H$503,'주문 접수 대장'!$F$4:$F$503,$A60,'주문 접수 대장'!$A$4:$A$503,"&gt;="&amp;$B$3,'주문 접수 대장'!$A$4:$A$503,"&lt;="&amp;$D$3))</f>
        <v/>
      </c>
      <c r="F60" s="26">
        <f>IF($A60="","",SUMIFS('주문 접수 대장'!$K$4:$K$503,'주문 접수 대장'!$F$4:$F$503,$A60,'주문 접수 대장'!$A$4:$A$503,"&gt;="&amp;$B$3,'주문 접수 대장'!$A$4:$A$503,"&lt;="&amp;$D$3))</f>
        <v/>
      </c>
      <c r="G60" s="16">
        <f>IF($A60="","",SUMIFS('주문 접수 대장'!$H$4:$H$503,'주문 접수 대장'!$F$4:$F$503,$A60,'주문 접수 대장'!$A$4:$A$503,"&gt;="&amp;$B$3,'주문 접수 대장'!$A$4:$A$503,"&lt;="&amp;$D$3,'주문 접수 대장'!$O$4:$O$503,"&lt;&gt;납품완료",'주문 접수 대장'!$O$4:$O$503,"&lt;&gt;취소"))</f>
        <v/>
      </c>
      <c r="H60" s="25">
        <f>IF($A60="","",COUNTIFS('주문 접수 대장'!$F$4:$F$503,$A60,'주문 접수 대장'!$A$4:$A$503,"&gt;="&amp;$B$3,'주문 접수 대장'!$A$4:$A$503,"&lt;="&amp;$D$3,'주문 접수 대장'!$P$4:$P$503,"지연"))</f>
        <v/>
      </c>
      <c r="I60" s="25">
        <f>IF($A60="","",COUNTIFS('주문 접수 대장'!$F$4:$F$503,$A60,'주문 접수 대장'!$A$4:$A$503,"&gt;="&amp;$B$3,'주문 접수 대장'!$A$4:$A$503,"&lt;="&amp;$D$3,'주문 접수 대장'!$O$4:$O$503,"취소"))</f>
        <v/>
      </c>
      <c r="J60" s="27">
        <f>IF($A60="","",IF(COUNTIFS('주문 접수 대장'!$F$4:$F$503,$A60,'주문 접수 대장'!$I$4:$I$503,"&lt;&gt;"&amp;C60)&gt;0,"단위 섞임",""))</f>
        <v/>
      </c>
    </row>
    <row r="61">
      <c r="A61" s="23">
        <f>IFERROR(INDEX('주문 접수 대장'!$F$4:$F$503,MATCH(56,'주문 접수 대장'!$S$4:$S$503,0)),"")</f>
        <v/>
      </c>
      <c r="B61" s="24">
        <f>IF($A61="","",INDEX('주문 접수 대장'!$G$4:$G$503,MATCH($A61,'주문 접수 대장'!$F$4:$F$503,0))&amp;"")</f>
        <v/>
      </c>
      <c r="C61" s="14">
        <f>IF($A61="","",INDEX('주문 접수 대장'!$I$4:$I$503,MATCH($A61,'주문 접수 대장'!$F$4:$F$503,0))&amp;"")</f>
        <v/>
      </c>
      <c r="D61" s="25">
        <f>IF($A61="","",COUNTIFS('주문 접수 대장'!$F$4:$F$503,$A61,'주문 접수 대장'!$A$4:$A$503,"&gt;="&amp;$B$3,'주문 접수 대장'!$A$4:$A$503,"&lt;="&amp;$D$3))</f>
        <v/>
      </c>
      <c r="E61" s="16">
        <f>IF($A61="","",SUMIFS('주문 접수 대장'!$H$4:$H$503,'주문 접수 대장'!$F$4:$F$503,$A61,'주문 접수 대장'!$A$4:$A$503,"&gt;="&amp;$B$3,'주문 접수 대장'!$A$4:$A$503,"&lt;="&amp;$D$3))</f>
        <v/>
      </c>
      <c r="F61" s="26">
        <f>IF($A61="","",SUMIFS('주문 접수 대장'!$K$4:$K$503,'주문 접수 대장'!$F$4:$F$503,$A61,'주문 접수 대장'!$A$4:$A$503,"&gt;="&amp;$B$3,'주문 접수 대장'!$A$4:$A$503,"&lt;="&amp;$D$3))</f>
        <v/>
      </c>
      <c r="G61" s="16">
        <f>IF($A61="","",SUMIFS('주문 접수 대장'!$H$4:$H$503,'주문 접수 대장'!$F$4:$F$503,$A61,'주문 접수 대장'!$A$4:$A$503,"&gt;="&amp;$B$3,'주문 접수 대장'!$A$4:$A$503,"&lt;="&amp;$D$3,'주문 접수 대장'!$O$4:$O$503,"&lt;&gt;납품완료",'주문 접수 대장'!$O$4:$O$503,"&lt;&gt;취소"))</f>
        <v/>
      </c>
      <c r="H61" s="25">
        <f>IF($A61="","",COUNTIFS('주문 접수 대장'!$F$4:$F$503,$A61,'주문 접수 대장'!$A$4:$A$503,"&gt;="&amp;$B$3,'주문 접수 대장'!$A$4:$A$503,"&lt;="&amp;$D$3,'주문 접수 대장'!$P$4:$P$503,"지연"))</f>
        <v/>
      </c>
      <c r="I61" s="25">
        <f>IF($A61="","",COUNTIFS('주문 접수 대장'!$F$4:$F$503,$A61,'주문 접수 대장'!$A$4:$A$503,"&gt;="&amp;$B$3,'주문 접수 대장'!$A$4:$A$503,"&lt;="&amp;$D$3,'주문 접수 대장'!$O$4:$O$503,"취소"))</f>
        <v/>
      </c>
      <c r="J61" s="27">
        <f>IF($A61="","",IF(COUNTIFS('주문 접수 대장'!$F$4:$F$503,$A61,'주문 접수 대장'!$I$4:$I$503,"&lt;&gt;"&amp;C61)&gt;0,"단위 섞임",""))</f>
        <v/>
      </c>
    </row>
    <row r="62">
      <c r="A62" s="23">
        <f>IFERROR(INDEX('주문 접수 대장'!$F$4:$F$503,MATCH(57,'주문 접수 대장'!$S$4:$S$503,0)),"")</f>
        <v/>
      </c>
      <c r="B62" s="24">
        <f>IF($A62="","",INDEX('주문 접수 대장'!$G$4:$G$503,MATCH($A62,'주문 접수 대장'!$F$4:$F$503,0))&amp;"")</f>
        <v/>
      </c>
      <c r="C62" s="14">
        <f>IF($A62="","",INDEX('주문 접수 대장'!$I$4:$I$503,MATCH($A62,'주문 접수 대장'!$F$4:$F$503,0))&amp;"")</f>
        <v/>
      </c>
      <c r="D62" s="25">
        <f>IF($A62="","",COUNTIFS('주문 접수 대장'!$F$4:$F$503,$A62,'주문 접수 대장'!$A$4:$A$503,"&gt;="&amp;$B$3,'주문 접수 대장'!$A$4:$A$503,"&lt;="&amp;$D$3))</f>
        <v/>
      </c>
      <c r="E62" s="16">
        <f>IF($A62="","",SUMIFS('주문 접수 대장'!$H$4:$H$503,'주문 접수 대장'!$F$4:$F$503,$A62,'주문 접수 대장'!$A$4:$A$503,"&gt;="&amp;$B$3,'주문 접수 대장'!$A$4:$A$503,"&lt;="&amp;$D$3))</f>
        <v/>
      </c>
      <c r="F62" s="26">
        <f>IF($A62="","",SUMIFS('주문 접수 대장'!$K$4:$K$503,'주문 접수 대장'!$F$4:$F$503,$A62,'주문 접수 대장'!$A$4:$A$503,"&gt;="&amp;$B$3,'주문 접수 대장'!$A$4:$A$503,"&lt;="&amp;$D$3))</f>
        <v/>
      </c>
      <c r="G62" s="16">
        <f>IF($A62="","",SUMIFS('주문 접수 대장'!$H$4:$H$503,'주문 접수 대장'!$F$4:$F$503,$A62,'주문 접수 대장'!$A$4:$A$503,"&gt;="&amp;$B$3,'주문 접수 대장'!$A$4:$A$503,"&lt;="&amp;$D$3,'주문 접수 대장'!$O$4:$O$503,"&lt;&gt;납품완료",'주문 접수 대장'!$O$4:$O$503,"&lt;&gt;취소"))</f>
        <v/>
      </c>
      <c r="H62" s="25">
        <f>IF($A62="","",COUNTIFS('주문 접수 대장'!$F$4:$F$503,$A62,'주문 접수 대장'!$A$4:$A$503,"&gt;="&amp;$B$3,'주문 접수 대장'!$A$4:$A$503,"&lt;="&amp;$D$3,'주문 접수 대장'!$P$4:$P$503,"지연"))</f>
        <v/>
      </c>
      <c r="I62" s="25">
        <f>IF($A62="","",COUNTIFS('주문 접수 대장'!$F$4:$F$503,$A62,'주문 접수 대장'!$A$4:$A$503,"&gt;="&amp;$B$3,'주문 접수 대장'!$A$4:$A$503,"&lt;="&amp;$D$3,'주문 접수 대장'!$O$4:$O$503,"취소"))</f>
        <v/>
      </c>
      <c r="J62" s="27">
        <f>IF($A62="","",IF(COUNTIFS('주문 접수 대장'!$F$4:$F$503,$A62,'주문 접수 대장'!$I$4:$I$503,"&lt;&gt;"&amp;C62)&gt;0,"단위 섞임",""))</f>
        <v/>
      </c>
    </row>
    <row r="63">
      <c r="A63" s="23">
        <f>IFERROR(INDEX('주문 접수 대장'!$F$4:$F$503,MATCH(58,'주문 접수 대장'!$S$4:$S$503,0)),"")</f>
        <v/>
      </c>
      <c r="B63" s="24">
        <f>IF($A63="","",INDEX('주문 접수 대장'!$G$4:$G$503,MATCH($A63,'주문 접수 대장'!$F$4:$F$503,0))&amp;"")</f>
        <v/>
      </c>
      <c r="C63" s="14">
        <f>IF($A63="","",INDEX('주문 접수 대장'!$I$4:$I$503,MATCH($A63,'주문 접수 대장'!$F$4:$F$503,0))&amp;"")</f>
        <v/>
      </c>
      <c r="D63" s="25">
        <f>IF($A63="","",COUNTIFS('주문 접수 대장'!$F$4:$F$503,$A63,'주문 접수 대장'!$A$4:$A$503,"&gt;="&amp;$B$3,'주문 접수 대장'!$A$4:$A$503,"&lt;="&amp;$D$3))</f>
        <v/>
      </c>
      <c r="E63" s="16">
        <f>IF($A63="","",SUMIFS('주문 접수 대장'!$H$4:$H$503,'주문 접수 대장'!$F$4:$F$503,$A63,'주문 접수 대장'!$A$4:$A$503,"&gt;="&amp;$B$3,'주문 접수 대장'!$A$4:$A$503,"&lt;="&amp;$D$3))</f>
        <v/>
      </c>
      <c r="F63" s="26">
        <f>IF($A63="","",SUMIFS('주문 접수 대장'!$K$4:$K$503,'주문 접수 대장'!$F$4:$F$503,$A63,'주문 접수 대장'!$A$4:$A$503,"&gt;="&amp;$B$3,'주문 접수 대장'!$A$4:$A$503,"&lt;="&amp;$D$3))</f>
        <v/>
      </c>
      <c r="G63" s="16">
        <f>IF($A63="","",SUMIFS('주문 접수 대장'!$H$4:$H$503,'주문 접수 대장'!$F$4:$F$503,$A63,'주문 접수 대장'!$A$4:$A$503,"&gt;="&amp;$B$3,'주문 접수 대장'!$A$4:$A$503,"&lt;="&amp;$D$3,'주문 접수 대장'!$O$4:$O$503,"&lt;&gt;납품완료",'주문 접수 대장'!$O$4:$O$503,"&lt;&gt;취소"))</f>
        <v/>
      </c>
      <c r="H63" s="25">
        <f>IF($A63="","",COUNTIFS('주문 접수 대장'!$F$4:$F$503,$A63,'주문 접수 대장'!$A$4:$A$503,"&gt;="&amp;$B$3,'주문 접수 대장'!$A$4:$A$503,"&lt;="&amp;$D$3,'주문 접수 대장'!$P$4:$P$503,"지연"))</f>
        <v/>
      </c>
      <c r="I63" s="25">
        <f>IF($A63="","",COUNTIFS('주문 접수 대장'!$F$4:$F$503,$A63,'주문 접수 대장'!$A$4:$A$503,"&gt;="&amp;$B$3,'주문 접수 대장'!$A$4:$A$503,"&lt;="&amp;$D$3,'주문 접수 대장'!$O$4:$O$503,"취소"))</f>
        <v/>
      </c>
      <c r="J63" s="27">
        <f>IF($A63="","",IF(COUNTIFS('주문 접수 대장'!$F$4:$F$503,$A63,'주문 접수 대장'!$I$4:$I$503,"&lt;&gt;"&amp;C63)&gt;0,"단위 섞임",""))</f>
        <v/>
      </c>
    </row>
    <row r="64">
      <c r="A64" s="23">
        <f>IFERROR(INDEX('주문 접수 대장'!$F$4:$F$503,MATCH(59,'주문 접수 대장'!$S$4:$S$503,0)),"")</f>
        <v/>
      </c>
      <c r="B64" s="24">
        <f>IF($A64="","",INDEX('주문 접수 대장'!$G$4:$G$503,MATCH($A64,'주문 접수 대장'!$F$4:$F$503,0))&amp;"")</f>
        <v/>
      </c>
      <c r="C64" s="14">
        <f>IF($A64="","",INDEX('주문 접수 대장'!$I$4:$I$503,MATCH($A64,'주문 접수 대장'!$F$4:$F$503,0))&amp;"")</f>
        <v/>
      </c>
      <c r="D64" s="25">
        <f>IF($A64="","",COUNTIFS('주문 접수 대장'!$F$4:$F$503,$A64,'주문 접수 대장'!$A$4:$A$503,"&gt;="&amp;$B$3,'주문 접수 대장'!$A$4:$A$503,"&lt;="&amp;$D$3))</f>
        <v/>
      </c>
      <c r="E64" s="16">
        <f>IF($A64="","",SUMIFS('주문 접수 대장'!$H$4:$H$503,'주문 접수 대장'!$F$4:$F$503,$A64,'주문 접수 대장'!$A$4:$A$503,"&gt;="&amp;$B$3,'주문 접수 대장'!$A$4:$A$503,"&lt;="&amp;$D$3))</f>
        <v/>
      </c>
      <c r="F64" s="26">
        <f>IF($A64="","",SUMIFS('주문 접수 대장'!$K$4:$K$503,'주문 접수 대장'!$F$4:$F$503,$A64,'주문 접수 대장'!$A$4:$A$503,"&gt;="&amp;$B$3,'주문 접수 대장'!$A$4:$A$503,"&lt;="&amp;$D$3))</f>
        <v/>
      </c>
      <c r="G64" s="16">
        <f>IF($A64="","",SUMIFS('주문 접수 대장'!$H$4:$H$503,'주문 접수 대장'!$F$4:$F$503,$A64,'주문 접수 대장'!$A$4:$A$503,"&gt;="&amp;$B$3,'주문 접수 대장'!$A$4:$A$503,"&lt;="&amp;$D$3,'주문 접수 대장'!$O$4:$O$503,"&lt;&gt;납품완료",'주문 접수 대장'!$O$4:$O$503,"&lt;&gt;취소"))</f>
        <v/>
      </c>
      <c r="H64" s="25">
        <f>IF($A64="","",COUNTIFS('주문 접수 대장'!$F$4:$F$503,$A64,'주문 접수 대장'!$A$4:$A$503,"&gt;="&amp;$B$3,'주문 접수 대장'!$A$4:$A$503,"&lt;="&amp;$D$3,'주문 접수 대장'!$P$4:$P$503,"지연"))</f>
        <v/>
      </c>
      <c r="I64" s="25">
        <f>IF($A64="","",COUNTIFS('주문 접수 대장'!$F$4:$F$503,$A64,'주문 접수 대장'!$A$4:$A$503,"&gt;="&amp;$B$3,'주문 접수 대장'!$A$4:$A$503,"&lt;="&amp;$D$3,'주문 접수 대장'!$O$4:$O$503,"취소"))</f>
        <v/>
      </c>
      <c r="J64" s="27">
        <f>IF($A64="","",IF(COUNTIFS('주문 접수 대장'!$F$4:$F$503,$A64,'주문 접수 대장'!$I$4:$I$503,"&lt;&gt;"&amp;C64)&gt;0,"단위 섞임",""))</f>
        <v/>
      </c>
    </row>
    <row r="65">
      <c r="A65" s="23">
        <f>IFERROR(INDEX('주문 접수 대장'!$F$4:$F$503,MATCH(60,'주문 접수 대장'!$S$4:$S$503,0)),"")</f>
        <v/>
      </c>
      <c r="B65" s="24">
        <f>IF($A65="","",INDEX('주문 접수 대장'!$G$4:$G$503,MATCH($A65,'주문 접수 대장'!$F$4:$F$503,0))&amp;"")</f>
        <v/>
      </c>
      <c r="C65" s="14">
        <f>IF($A65="","",INDEX('주문 접수 대장'!$I$4:$I$503,MATCH($A65,'주문 접수 대장'!$F$4:$F$503,0))&amp;"")</f>
        <v/>
      </c>
      <c r="D65" s="25">
        <f>IF($A65="","",COUNTIFS('주문 접수 대장'!$F$4:$F$503,$A65,'주문 접수 대장'!$A$4:$A$503,"&gt;="&amp;$B$3,'주문 접수 대장'!$A$4:$A$503,"&lt;="&amp;$D$3))</f>
        <v/>
      </c>
      <c r="E65" s="16">
        <f>IF($A65="","",SUMIFS('주문 접수 대장'!$H$4:$H$503,'주문 접수 대장'!$F$4:$F$503,$A65,'주문 접수 대장'!$A$4:$A$503,"&gt;="&amp;$B$3,'주문 접수 대장'!$A$4:$A$503,"&lt;="&amp;$D$3))</f>
        <v/>
      </c>
      <c r="F65" s="26">
        <f>IF($A65="","",SUMIFS('주문 접수 대장'!$K$4:$K$503,'주문 접수 대장'!$F$4:$F$503,$A65,'주문 접수 대장'!$A$4:$A$503,"&gt;="&amp;$B$3,'주문 접수 대장'!$A$4:$A$503,"&lt;="&amp;$D$3))</f>
        <v/>
      </c>
      <c r="G65" s="16">
        <f>IF($A65="","",SUMIFS('주문 접수 대장'!$H$4:$H$503,'주문 접수 대장'!$F$4:$F$503,$A65,'주문 접수 대장'!$A$4:$A$503,"&gt;="&amp;$B$3,'주문 접수 대장'!$A$4:$A$503,"&lt;="&amp;$D$3,'주문 접수 대장'!$O$4:$O$503,"&lt;&gt;납품완료",'주문 접수 대장'!$O$4:$O$503,"&lt;&gt;취소"))</f>
        <v/>
      </c>
      <c r="H65" s="25">
        <f>IF($A65="","",COUNTIFS('주문 접수 대장'!$F$4:$F$503,$A65,'주문 접수 대장'!$A$4:$A$503,"&gt;="&amp;$B$3,'주문 접수 대장'!$A$4:$A$503,"&lt;="&amp;$D$3,'주문 접수 대장'!$P$4:$P$503,"지연"))</f>
        <v/>
      </c>
      <c r="I65" s="25">
        <f>IF($A65="","",COUNTIFS('주문 접수 대장'!$F$4:$F$503,$A65,'주문 접수 대장'!$A$4:$A$503,"&gt;="&amp;$B$3,'주문 접수 대장'!$A$4:$A$503,"&lt;="&amp;$D$3,'주문 접수 대장'!$O$4:$O$503,"취소"))</f>
        <v/>
      </c>
      <c r="J65" s="27">
        <f>IF($A65="","",IF(COUNTIFS('주문 접수 대장'!$F$4:$F$503,$A65,'주문 접수 대장'!$I$4:$I$503,"&lt;&gt;"&amp;C65)&gt;0,"단위 섞임",""))</f>
        <v/>
      </c>
    </row>
    <row r="66">
      <c r="A66" s="23">
        <f>IFERROR(INDEX('주문 접수 대장'!$F$4:$F$503,MATCH(61,'주문 접수 대장'!$S$4:$S$503,0)),"")</f>
        <v/>
      </c>
      <c r="B66" s="24">
        <f>IF($A66="","",INDEX('주문 접수 대장'!$G$4:$G$503,MATCH($A66,'주문 접수 대장'!$F$4:$F$503,0))&amp;"")</f>
        <v/>
      </c>
      <c r="C66" s="14">
        <f>IF($A66="","",INDEX('주문 접수 대장'!$I$4:$I$503,MATCH($A66,'주문 접수 대장'!$F$4:$F$503,0))&amp;"")</f>
        <v/>
      </c>
      <c r="D66" s="25">
        <f>IF($A66="","",COUNTIFS('주문 접수 대장'!$F$4:$F$503,$A66,'주문 접수 대장'!$A$4:$A$503,"&gt;="&amp;$B$3,'주문 접수 대장'!$A$4:$A$503,"&lt;="&amp;$D$3))</f>
        <v/>
      </c>
      <c r="E66" s="16">
        <f>IF($A66="","",SUMIFS('주문 접수 대장'!$H$4:$H$503,'주문 접수 대장'!$F$4:$F$503,$A66,'주문 접수 대장'!$A$4:$A$503,"&gt;="&amp;$B$3,'주문 접수 대장'!$A$4:$A$503,"&lt;="&amp;$D$3))</f>
        <v/>
      </c>
      <c r="F66" s="26">
        <f>IF($A66="","",SUMIFS('주문 접수 대장'!$K$4:$K$503,'주문 접수 대장'!$F$4:$F$503,$A66,'주문 접수 대장'!$A$4:$A$503,"&gt;="&amp;$B$3,'주문 접수 대장'!$A$4:$A$503,"&lt;="&amp;$D$3))</f>
        <v/>
      </c>
      <c r="G66" s="16">
        <f>IF($A66="","",SUMIFS('주문 접수 대장'!$H$4:$H$503,'주문 접수 대장'!$F$4:$F$503,$A66,'주문 접수 대장'!$A$4:$A$503,"&gt;="&amp;$B$3,'주문 접수 대장'!$A$4:$A$503,"&lt;="&amp;$D$3,'주문 접수 대장'!$O$4:$O$503,"&lt;&gt;납품완료",'주문 접수 대장'!$O$4:$O$503,"&lt;&gt;취소"))</f>
        <v/>
      </c>
      <c r="H66" s="25">
        <f>IF($A66="","",COUNTIFS('주문 접수 대장'!$F$4:$F$503,$A66,'주문 접수 대장'!$A$4:$A$503,"&gt;="&amp;$B$3,'주문 접수 대장'!$A$4:$A$503,"&lt;="&amp;$D$3,'주문 접수 대장'!$P$4:$P$503,"지연"))</f>
        <v/>
      </c>
      <c r="I66" s="25">
        <f>IF($A66="","",COUNTIFS('주문 접수 대장'!$F$4:$F$503,$A66,'주문 접수 대장'!$A$4:$A$503,"&gt;="&amp;$B$3,'주문 접수 대장'!$A$4:$A$503,"&lt;="&amp;$D$3,'주문 접수 대장'!$O$4:$O$503,"취소"))</f>
        <v/>
      </c>
      <c r="J66" s="27">
        <f>IF($A66="","",IF(COUNTIFS('주문 접수 대장'!$F$4:$F$503,$A66,'주문 접수 대장'!$I$4:$I$503,"&lt;&gt;"&amp;C66)&gt;0,"단위 섞임",""))</f>
        <v/>
      </c>
    </row>
    <row r="67">
      <c r="A67" s="23">
        <f>IFERROR(INDEX('주문 접수 대장'!$F$4:$F$503,MATCH(62,'주문 접수 대장'!$S$4:$S$503,0)),"")</f>
        <v/>
      </c>
      <c r="B67" s="24">
        <f>IF($A67="","",INDEX('주문 접수 대장'!$G$4:$G$503,MATCH($A67,'주문 접수 대장'!$F$4:$F$503,0))&amp;"")</f>
        <v/>
      </c>
      <c r="C67" s="14">
        <f>IF($A67="","",INDEX('주문 접수 대장'!$I$4:$I$503,MATCH($A67,'주문 접수 대장'!$F$4:$F$503,0))&amp;"")</f>
        <v/>
      </c>
      <c r="D67" s="25">
        <f>IF($A67="","",COUNTIFS('주문 접수 대장'!$F$4:$F$503,$A67,'주문 접수 대장'!$A$4:$A$503,"&gt;="&amp;$B$3,'주문 접수 대장'!$A$4:$A$503,"&lt;="&amp;$D$3))</f>
        <v/>
      </c>
      <c r="E67" s="16">
        <f>IF($A67="","",SUMIFS('주문 접수 대장'!$H$4:$H$503,'주문 접수 대장'!$F$4:$F$503,$A67,'주문 접수 대장'!$A$4:$A$503,"&gt;="&amp;$B$3,'주문 접수 대장'!$A$4:$A$503,"&lt;="&amp;$D$3))</f>
        <v/>
      </c>
      <c r="F67" s="26">
        <f>IF($A67="","",SUMIFS('주문 접수 대장'!$K$4:$K$503,'주문 접수 대장'!$F$4:$F$503,$A67,'주문 접수 대장'!$A$4:$A$503,"&gt;="&amp;$B$3,'주문 접수 대장'!$A$4:$A$503,"&lt;="&amp;$D$3))</f>
        <v/>
      </c>
      <c r="G67" s="16">
        <f>IF($A67="","",SUMIFS('주문 접수 대장'!$H$4:$H$503,'주문 접수 대장'!$F$4:$F$503,$A67,'주문 접수 대장'!$A$4:$A$503,"&gt;="&amp;$B$3,'주문 접수 대장'!$A$4:$A$503,"&lt;="&amp;$D$3,'주문 접수 대장'!$O$4:$O$503,"&lt;&gt;납품완료",'주문 접수 대장'!$O$4:$O$503,"&lt;&gt;취소"))</f>
        <v/>
      </c>
      <c r="H67" s="25">
        <f>IF($A67="","",COUNTIFS('주문 접수 대장'!$F$4:$F$503,$A67,'주문 접수 대장'!$A$4:$A$503,"&gt;="&amp;$B$3,'주문 접수 대장'!$A$4:$A$503,"&lt;="&amp;$D$3,'주문 접수 대장'!$P$4:$P$503,"지연"))</f>
        <v/>
      </c>
      <c r="I67" s="25">
        <f>IF($A67="","",COUNTIFS('주문 접수 대장'!$F$4:$F$503,$A67,'주문 접수 대장'!$A$4:$A$503,"&gt;="&amp;$B$3,'주문 접수 대장'!$A$4:$A$503,"&lt;="&amp;$D$3,'주문 접수 대장'!$O$4:$O$503,"취소"))</f>
        <v/>
      </c>
      <c r="J67" s="27">
        <f>IF($A67="","",IF(COUNTIFS('주문 접수 대장'!$F$4:$F$503,$A67,'주문 접수 대장'!$I$4:$I$503,"&lt;&gt;"&amp;C67)&gt;0,"단위 섞임",""))</f>
        <v/>
      </c>
    </row>
    <row r="68">
      <c r="A68" s="23">
        <f>IFERROR(INDEX('주문 접수 대장'!$F$4:$F$503,MATCH(63,'주문 접수 대장'!$S$4:$S$503,0)),"")</f>
        <v/>
      </c>
      <c r="B68" s="24">
        <f>IF($A68="","",INDEX('주문 접수 대장'!$G$4:$G$503,MATCH($A68,'주문 접수 대장'!$F$4:$F$503,0))&amp;"")</f>
        <v/>
      </c>
      <c r="C68" s="14">
        <f>IF($A68="","",INDEX('주문 접수 대장'!$I$4:$I$503,MATCH($A68,'주문 접수 대장'!$F$4:$F$503,0))&amp;"")</f>
        <v/>
      </c>
      <c r="D68" s="25">
        <f>IF($A68="","",COUNTIFS('주문 접수 대장'!$F$4:$F$503,$A68,'주문 접수 대장'!$A$4:$A$503,"&gt;="&amp;$B$3,'주문 접수 대장'!$A$4:$A$503,"&lt;="&amp;$D$3))</f>
        <v/>
      </c>
      <c r="E68" s="16">
        <f>IF($A68="","",SUMIFS('주문 접수 대장'!$H$4:$H$503,'주문 접수 대장'!$F$4:$F$503,$A68,'주문 접수 대장'!$A$4:$A$503,"&gt;="&amp;$B$3,'주문 접수 대장'!$A$4:$A$503,"&lt;="&amp;$D$3))</f>
        <v/>
      </c>
      <c r="F68" s="26">
        <f>IF($A68="","",SUMIFS('주문 접수 대장'!$K$4:$K$503,'주문 접수 대장'!$F$4:$F$503,$A68,'주문 접수 대장'!$A$4:$A$503,"&gt;="&amp;$B$3,'주문 접수 대장'!$A$4:$A$503,"&lt;="&amp;$D$3))</f>
        <v/>
      </c>
      <c r="G68" s="16">
        <f>IF($A68="","",SUMIFS('주문 접수 대장'!$H$4:$H$503,'주문 접수 대장'!$F$4:$F$503,$A68,'주문 접수 대장'!$A$4:$A$503,"&gt;="&amp;$B$3,'주문 접수 대장'!$A$4:$A$503,"&lt;="&amp;$D$3,'주문 접수 대장'!$O$4:$O$503,"&lt;&gt;납품완료",'주문 접수 대장'!$O$4:$O$503,"&lt;&gt;취소"))</f>
        <v/>
      </c>
      <c r="H68" s="25">
        <f>IF($A68="","",COUNTIFS('주문 접수 대장'!$F$4:$F$503,$A68,'주문 접수 대장'!$A$4:$A$503,"&gt;="&amp;$B$3,'주문 접수 대장'!$A$4:$A$503,"&lt;="&amp;$D$3,'주문 접수 대장'!$P$4:$P$503,"지연"))</f>
        <v/>
      </c>
      <c r="I68" s="25">
        <f>IF($A68="","",COUNTIFS('주문 접수 대장'!$F$4:$F$503,$A68,'주문 접수 대장'!$A$4:$A$503,"&gt;="&amp;$B$3,'주문 접수 대장'!$A$4:$A$503,"&lt;="&amp;$D$3,'주문 접수 대장'!$O$4:$O$503,"취소"))</f>
        <v/>
      </c>
      <c r="J68" s="27">
        <f>IF($A68="","",IF(COUNTIFS('주문 접수 대장'!$F$4:$F$503,$A68,'주문 접수 대장'!$I$4:$I$503,"&lt;&gt;"&amp;C68)&gt;0,"단위 섞임",""))</f>
        <v/>
      </c>
    </row>
    <row r="69">
      <c r="A69" s="23">
        <f>IFERROR(INDEX('주문 접수 대장'!$F$4:$F$503,MATCH(64,'주문 접수 대장'!$S$4:$S$503,0)),"")</f>
        <v/>
      </c>
      <c r="B69" s="24">
        <f>IF($A69="","",INDEX('주문 접수 대장'!$G$4:$G$503,MATCH($A69,'주문 접수 대장'!$F$4:$F$503,0))&amp;"")</f>
        <v/>
      </c>
      <c r="C69" s="14">
        <f>IF($A69="","",INDEX('주문 접수 대장'!$I$4:$I$503,MATCH($A69,'주문 접수 대장'!$F$4:$F$503,0))&amp;"")</f>
        <v/>
      </c>
      <c r="D69" s="25">
        <f>IF($A69="","",COUNTIFS('주문 접수 대장'!$F$4:$F$503,$A69,'주문 접수 대장'!$A$4:$A$503,"&gt;="&amp;$B$3,'주문 접수 대장'!$A$4:$A$503,"&lt;="&amp;$D$3))</f>
        <v/>
      </c>
      <c r="E69" s="16">
        <f>IF($A69="","",SUMIFS('주문 접수 대장'!$H$4:$H$503,'주문 접수 대장'!$F$4:$F$503,$A69,'주문 접수 대장'!$A$4:$A$503,"&gt;="&amp;$B$3,'주문 접수 대장'!$A$4:$A$503,"&lt;="&amp;$D$3))</f>
        <v/>
      </c>
      <c r="F69" s="26">
        <f>IF($A69="","",SUMIFS('주문 접수 대장'!$K$4:$K$503,'주문 접수 대장'!$F$4:$F$503,$A69,'주문 접수 대장'!$A$4:$A$503,"&gt;="&amp;$B$3,'주문 접수 대장'!$A$4:$A$503,"&lt;="&amp;$D$3))</f>
        <v/>
      </c>
      <c r="G69" s="16">
        <f>IF($A69="","",SUMIFS('주문 접수 대장'!$H$4:$H$503,'주문 접수 대장'!$F$4:$F$503,$A69,'주문 접수 대장'!$A$4:$A$503,"&gt;="&amp;$B$3,'주문 접수 대장'!$A$4:$A$503,"&lt;="&amp;$D$3,'주문 접수 대장'!$O$4:$O$503,"&lt;&gt;납품완료",'주문 접수 대장'!$O$4:$O$503,"&lt;&gt;취소"))</f>
        <v/>
      </c>
      <c r="H69" s="25">
        <f>IF($A69="","",COUNTIFS('주문 접수 대장'!$F$4:$F$503,$A69,'주문 접수 대장'!$A$4:$A$503,"&gt;="&amp;$B$3,'주문 접수 대장'!$A$4:$A$503,"&lt;="&amp;$D$3,'주문 접수 대장'!$P$4:$P$503,"지연"))</f>
        <v/>
      </c>
      <c r="I69" s="25">
        <f>IF($A69="","",COUNTIFS('주문 접수 대장'!$F$4:$F$503,$A69,'주문 접수 대장'!$A$4:$A$503,"&gt;="&amp;$B$3,'주문 접수 대장'!$A$4:$A$503,"&lt;="&amp;$D$3,'주문 접수 대장'!$O$4:$O$503,"취소"))</f>
        <v/>
      </c>
      <c r="J69" s="27">
        <f>IF($A69="","",IF(COUNTIFS('주문 접수 대장'!$F$4:$F$503,$A69,'주문 접수 대장'!$I$4:$I$503,"&lt;&gt;"&amp;C69)&gt;0,"단위 섞임",""))</f>
        <v/>
      </c>
    </row>
    <row r="70">
      <c r="A70" s="23">
        <f>IFERROR(INDEX('주문 접수 대장'!$F$4:$F$503,MATCH(65,'주문 접수 대장'!$S$4:$S$503,0)),"")</f>
        <v/>
      </c>
      <c r="B70" s="24">
        <f>IF($A70="","",INDEX('주문 접수 대장'!$G$4:$G$503,MATCH($A70,'주문 접수 대장'!$F$4:$F$503,0))&amp;"")</f>
        <v/>
      </c>
      <c r="C70" s="14">
        <f>IF($A70="","",INDEX('주문 접수 대장'!$I$4:$I$503,MATCH($A70,'주문 접수 대장'!$F$4:$F$503,0))&amp;"")</f>
        <v/>
      </c>
      <c r="D70" s="25">
        <f>IF($A70="","",COUNTIFS('주문 접수 대장'!$F$4:$F$503,$A70,'주문 접수 대장'!$A$4:$A$503,"&gt;="&amp;$B$3,'주문 접수 대장'!$A$4:$A$503,"&lt;="&amp;$D$3))</f>
        <v/>
      </c>
      <c r="E70" s="16">
        <f>IF($A70="","",SUMIFS('주문 접수 대장'!$H$4:$H$503,'주문 접수 대장'!$F$4:$F$503,$A70,'주문 접수 대장'!$A$4:$A$503,"&gt;="&amp;$B$3,'주문 접수 대장'!$A$4:$A$503,"&lt;="&amp;$D$3))</f>
        <v/>
      </c>
      <c r="F70" s="26">
        <f>IF($A70="","",SUMIFS('주문 접수 대장'!$K$4:$K$503,'주문 접수 대장'!$F$4:$F$503,$A70,'주문 접수 대장'!$A$4:$A$503,"&gt;="&amp;$B$3,'주문 접수 대장'!$A$4:$A$503,"&lt;="&amp;$D$3))</f>
        <v/>
      </c>
      <c r="G70" s="16">
        <f>IF($A70="","",SUMIFS('주문 접수 대장'!$H$4:$H$503,'주문 접수 대장'!$F$4:$F$503,$A70,'주문 접수 대장'!$A$4:$A$503,"&gt;="&amp;$B$3,'주문 접수 대장'!$A$4:$A$503,"&lt;="&amp;$D$3,'주문 접수 대장'!$O$4:$O$503,"&lt;&gt;납품완료",'주문 접수 대장'!$O$4:$O$503,"&lt;&gt;취소"))</f>
        <v/>
      </c>
      <c r="H70" s="25">
        <f>IF($A70="","",COUNTIFS('주문 접수 대장'!$F$4:$F$503,$A70,'주문 접수 대장'!$A$4:$A$503,"&gt;="&amp;$B$3,'주문 접수 대장'!$A$4:$A$503,"&lt;="&amp;$D$3,'주문 접수 대장'!$P$4:$P$503,"지연"))</f>
        <v/>
      </c>
      <c r="I70" s="25">
        <f>IF($A70="","",COUNTIFS('주문 접수 대장'!$F$4:$F$503,$A70,'주문 접수 대장'!$A$4:$A$503,"&gt;="&amp;$B$3,'주문 접수 대장'!$A$4:$A$503,"&lt;="&amp;$D$3,'주문 접수 대장'!$O$4:$O$503,"취소"))</f>
        <v/>
      </c>
      <c r="J70" s="27">
        <f>IF($A70="","",IF(COUNTIFS('주문 접수 대장'!$F$4:$F$503,$A70,'주문 접수 대장'!$I$4:$I$503,"&lt;&gt;"&amp;C70)&gt;0,"단위 섞임",""))</f>
        <v/>
      </c>
    </row>
    <row r="71">
      <c r="A71" s="23">
        <f>IFERROR(INDEX('주문 접수 대장'!$F$4:$F$503,MATCH(66,'주문 접수 대장'!$S$4:$S$503,0)),"")</f>
        <v/>
      </c>
      <c r="B71" s="24">
        <f>IF($A71="","",INDEX('주문 접수 대장'!$G$4:$G$503,MATCH($A71,'주문 접수 대장'!$F$4:$F$503,0))&amp;"")</f>
        <v/>
      </c>
      <c r="C71" s="14">
        <f>IF($A71="","",INDEX('주문 접수 대장'!$I$4:$I$503,MATCH($A71,'주문 접수 대장'!$F$4:$F$503,0))&amp;"")</f>
        <v/>
      </c>
      <c r="D71" s="25">
        <f>IF($A71="","",COUNTIFS('주문 접수 대장'!$F$4:$F$503,$A71,'주문 접수 대장'!$A$4:$A$503,"&gt;="&amp;$B$3,'주문 접수 대장'!$A$4:$A$503,"&lt;="&amp;$D$3))</f>
        <v/>
      </c>
      <c r="E71" s="16">
        <f>IF($A71="","",SUMIFS('주문 접수 대장'!$H$4:$H$503,'주문 접수 대장'!$F$4:$F$503,$A71,'주문 접수 대장'!$A$4:$A$503,"&gt;="&amp;$B$3,'주문 접수 대장'!$A$4:$A$503,"&lt;="&amp;$D$3))</f>
        <v/>
      </c>
      <c r="F71" s="26">
        <f>IF($A71="","",SUMIFS('주문 접수 대장'!$K$4:$K$503,'주문 접수 대장'!$F$4:$F$503,$A71,'주문 접수 대장'!$A$4:$A$503,"&gt;="&amp;$B$3,'주문 접수 대장'!$A$4:$A$503,"&lt;="&amp;$D$3))</f>
        <v/>
      </c>
      <c r="G71" s="16">
        <f>IF($A71="","",SUMIFS('주문 접수 대장'!$H$4:$H$503,'주문 접수 대장'!$F$4:$F$503,$A71,'주문 접수 대장'!$A$4:$A$503,"&gt;="&amp;$B$3,'주문 접수 대장'!$A$4:$A$503,"&lt;="&amp;$D$3,'주문 접수 대장'!$O$4:$O$503,"&lt;&gt;납품완료",'주문 접수 대장'!$O$4:$O$503,"&lt;&gt;취소"))</f>
        <v/>
      </c>
      <c r="H71" s="25">
        <f>IF($A71="","",COUNTIFS('주문 접수 대장'!$F$4:$F$503,$A71,'주문 접수 대장'!$A$4:$A$503,"&gt;="&amp;$B$3,'주문 접수 대장'!$A$4:$A$503,"&lt;="&amp;$D$3,'주문 접수 대장'!$P$4:$P$503,"지연"))</f>
        <v/>
      </c>
      <c r="I71" s="25">
        <f>IF($A71="","",COUNTIFS('주문 접수 대장'!$F$4:$F$503,$A71,'주문 접수 대장'!$A$4:$A$503,"&gt;="&amp;$B$3,'주문 접수 대장'!$A$4:$A$503,"&lt;="&amp;$D$3,'주문 접수 대장'!$O$4:$O$503,"취소"))</f>
        <v/>
      </c>
      <c r="J71" s="27">
        <f>IF($A71="","",IF(COUNTIFS('주문 접수 대장'!$F$4:$F$503,$A71,'주문 접수 대장'!$I$4:$I$503,"&lt;&gt;"&amp;C71)&gt;0,"단위 섞임",""))</f>
        <v/>
      </c>
    </row>
    <row r="72">
      <c r="A72" s="23">
        <f>IFERROR(INDEX('주문 접수 대장'!$F$4:$F$503,MATCH(67,'주문 접수 대장'!$S$4:$S$503,0)),"")</f>
        <v/>
      </c>
      <c r="B72" s="24">
        <f>IF($A72="","",INDEX('주문 접수 대장'!$G$4:$G$503,MATCH($A72,'주문 접수 대장'!$F$4:$F$503,0))&amp;"")</f>
        <v/>
      </c>
      <c r="C72" s="14">
        <f>IF($A72="","",INDEX('주문 접수 대장'!$I$4:$I$503,MATCH($A72,'주문 접수 대장'!$F$4:$F$503,0))&amp;"")</f>
        <v/>
      </c>
      <c r="D72" s="25">
        <f>IF($A72="","",COUNTIFS('주문 접수 대장'!$F$4:$F$503,$A72,'주문 접수 대장'!$A$4:$A$503,"&gt;="&amp;$B$3,'주문 접수 대장'!$A$4:$A$503,"&lt;="&amp;$D$3))</f>
        <v/>
      </c>
      <c r="E72" s="16">
        <f>IF($A72="","",SUMIFS('주문 접수 대장'!$H$4:$H$503,'주문 접수 대장'!$F$4:$F$503,$A72,'주문 접수 대장'!$A$4:$A$503,"&gt;="&amp;$B$3,'주문 접수 대장'!$A$4:$A$503,"&lt;="&amp;$D$3))</f>
        <v/>
      </c>
      <c r="F72" s="26">
        <f>IF($A72="","",SUMIFS('주문 접수 대장'!$K$4:$K$503,'주문 접수 대장'!$F$4:$F$503,$A72,'주문 접수 대장'!$A$4:$A$503,"&gt;="&amp;$B$3,'주문 접수 대장'!$A$4:$A$503,"&lt;="&amp;$D$3))</f>
        <v/>
      </c>
      <c r="G72" s="16">
        <f>IF($A72="","",SUMIFS('주문 접수 대장'!$H$4:$H$503,'주문 접수 대장'!$F$4:$F$503,$A72,'주문 접수 대장'!$A$4:$A$503,"&gt;="&amp;$B$3,'주문 접수 대장'!$A$4:$A$503,"&lt;="&amp;$D$3,'주문 접수 대장'!$O$4:$O$503,"&lt;&gt;납품완료",'주문 접수 대장'!$O$4:$O$503,"&lt;&gt;취소"))</f>
        <v/>
      </c>
      <c r="H72" s="25">
        <f>IF($A72="","",COUNTIFS('주문 접수 대장'!$F$4:$F$503,$A72,'주문 접수 대장'!$A$4:$A$503,"&gt;="&amp;$B$3,'주문 접수 대장'!$A$4:$A$503,"&lt;="&amp;$D$3,'주문 접수 대장'!$P$4:$P$503,"지연"))</f>
        <v/>
      </c>
      <c r="I72" s="25">
        <f>IF($A72="","",COUNTIFS('주문 접수 대장'!$F$4:$F$503,$A72,'주문 접수 대장'!$A$4:$A$503,"&gt;="&amp;$B$3,'주문 접수 대장'!$A$4:$A$503,"&lt;="&amp;$D$3,'주문 접수 대장'!$O$4:$O$503,"취소"))</f>
        <v/>
      </c>
      <c r="J72" s="27">
        <f>IF($A72="","",IF(COUNTIFS('주문 접수 대장'!$F$4:$F$503,$A72,'주문 접수 대장'!$I$4:$I$503,"&lt;&gt;"&amp;C72)&gt;0,"단위 섞임",""))</f>
        <v/>
      </c>
    </row>
    <row r="73">
      <c r="A73" s="23">
        <f>IFERROR(INDEX('주문 접수 대장'!$F$4:$F$503,MATCH(68,'주문 접수 대장'!$S$4:$S$503,0)),"")</f>
        <v/>
      </c>
      <c r="B73" s="24">
        <f>IF($A73="","",INDEX('주문 접수 대장'!$G$4:$G$503,MATCH($A73,'주문 접수 대장'!$F$4:$F$503,0))&amp;"")</f>
        <v/>
      </c>
      <c r="C73" s="14">
        <f>IF($A73="","",INDEX('주문 접수 대장'!$I$4:$I$503,MATCH($A73,'주문 접수 대장'!$F$4:$F$503,0))&amp;"")</f>
        <v/>
      </c>
      <c r="D73" s="25">
        <f>IF($A73="","",COUNTIFS('주문 접수 대장'!$F$4:$F$503,$A73,'주문 접수 대장'!$A$4:$A$503,"&gt;="&amp;$B$3,'주문 접수 대장'!$A$4:$A$503,"&lt;="&amp;$D$3))</f>
        <v/>
      </c>
      <c r="E73" s="16">
        <f>IF($A73="","",SUMIFS('주문 접수 대장'!$H$4:$H$503,'주문 접수 대장'!$F$4:$F$503,$A73,'주문 접수 대장'!$A$4:$A$503,"&gt;="&amp;$B$3,'주문 접수 대장'!$A$4:$A$503,"&lt;="&amp;$D$3))</f>
        <v/>
      </c>
      <c r="F73" s="26">
        <f>IF($A73="","",SUMIFS('주문 접수 대장'!$K$4:$K$503,'주문 접수 대장'!$F$4:$F$503,$A73,'주문 접수 대장'!$A$4:$A$503,"&gt;="&amp;$B$3,'주문 접수 대장'!$A$4:$A$503,"&lt;="&amp;$D$3))</f>
        <v/>
      </c>
      <c r="G73" s="16">
        <f>IF($A73="","",SUMIFS('주문 접수 대장'!$H$4:$H$503,'주문 접수 대장'!$F$4:$F$503,$A73,'주문 접수 대장'!$A$4:$A$503,"&gt;="&amp;$B$3,'주문 접수 대장'!$A$4:$A$503,"&lt;="&amp;$D$3,'주문 접수 대장'!$O$4:$O$503,"&lt;&gt;납품완료",'주문 접수 대장'!$O$4:$O$503,"&lt;&gt;취소"))</f>
        <v/>
      </c>
      <c r="H73" s="25">
        <f>IF($A73="","",COUNTIFS('주문 접수 대장'!$F$4:$F$503,$A73,'주문 접수 대장'!$A$4:$A$503,"&gt;="&amp;$B$3,'주문 접수 대장'!$A$4:$A$503,"&lt;="&amp;$D$3,'주문 접수 대장'!$P$4:$P$503,"지연"))</f>
        <v/>
      </c>
      <c r="I73" s="25">
        <f>IF($A73="","",COUNTIFS('주문 접수 대장'!$F$4:$F$503,$A73,'주문 접수 대장'!$A$4:$A$503,"&gt;="&amp;$B$3,'주문 접수 대장'!$A$4:$A$503,"&lt;="&amp;$D$3,'주문 접수 대장'!$O$4:$O$503,"취소"))</f>
        <v/>
      </c>
      <c r="J73" s="27">
        <f>IF($A73="","",IF(COUNTIFS('주문 접수 대장'!$F$4:$F$503,$A73,'주문 접수 대장'!$I$4:$I$503,"&lt;&gt;"&amp;C73)&gt;0,"단위 섞임",""))</f>
        <v/>
      </c>
    </row>
    <row r="74">
      <c r="A74" s="23">
        <f>IFERROR(INDEX('주문 접수 대장'!$F$4:$F$503,MATCH(69,'주문 접수 대장'!$S$4:$S$503,0)),"")</f>
        <v/>
      </c>
      <c r="B74" s="24">
        <f>IF($A74="","",INDEX('주문 접수 대장'!$G$4:$G$503,MATCH($A74,'주문 접수 대장'!$F$4:$F$503,0))&amp;"")</f>
        <v/>
      </c>
      <c r="C74" s="14">
        <f>IF($A74="","",INDEX('주문 접수 대장'!$I$4:$I$503,MATCH($A74,'주문 접수 대장'!$F$4:$F$503,0))&amp;"")</f>
        <v/>
      </c>
      <c r="D74" s="25">
        <f>IF($A74="","",COUNTIFS('주문 접수 대장'!$F$4:$F$503,$A74,'주문 접수 대장'!$A$4:$A$503,"&gt;="&amp;$B$3,'주문 접수 대장'!$A$4:$A$503,"&lt;="&amp;$D$3))</f>
        <v/>
      </c>
      <c r="E74" s="16">
        <f>IF($A74="","",SUMIFS('주문 접수 대장'!$H$4:$H$503,'주문 접수 대장'!$F$4:$F$503,$A74,'주문 접수 대장'!$A$4:$A$503,"&gt;="&amp;$B$3,'주문 접수 대장'!$A$4:$A$503,"&lt;="&amp;$D$3))</f>
        <v/>
      </c>
      <c r="F74" s="26">
        <f>IF($A74="","",SUMIFS('주문 접수 대장'!$K$4:$K$503,'주문 접수 대장'!$F$4:$F$503,$A74,'주문 접수 대장'!$A$4:$A$503,"&gt;="&amp;$B$3,'주문 접수 대장'!$A$4:$A$503,"&lt;="&amp;$D$3))</f>
        <v/>
      </c>
      <c r="G74" s="16">
        <f>IF($A74="","",SUMIFS('주문 접수 대장'!$H$4:$H$503,'주문 접수 대장'!$F$4:$F$503,$A74,'주문 접수 대장'!$A$4:$A$503,"&gt;="&amp;$B$3,'주문 접수 대장'!$A$4:$A$503,"&lt;="&amp;$D$3,'주문 접수 대장'!$O$4:$O$503,"&lt;&gt;납품완료",'주문 접수 대장'!$O$4:$O$503,"&lt;&gt;취소"))</f>
        <v/>
      </c>
      <c r="H74" s="25">
        <f>IF($A74="","",COUNTIFS('주문 접수 대장'!$F$4:$F$503,$A74,'주문 접수 대장'!$A$4:$A$503,"&gt;="&amp;$B$3,'주문 접수 대장'!$A$4:$A$503,"&lt;="&amp;$D$3,'주문 접수 대장'!$P$4:$P$503,"지연"))</f>
        <v/>
      </c>
      <c r="I74" s="25">
        <f>IF($A74="","",COUNTIFS('주문 접수 대장'!$F$4:$F$503,$A74,'주문 접수 대장'!$A$4:$A$503,"&gt;="&amp;$B$3,'주문 접수 대장'!$A$4:$A$503,"&lt;="&amp;$D$3,'주문 접수 대장'!$O$4:$O$503,"취소"))</f>
        <v/>
      </c>
      <c r="J74" s="27">
        <f>IF($A74="","",IF(COUNTIFS('주문 접수 대장'!$F$4:$F$503,$A74,'주문 접수 대장'!$I$4:$I$503,"&lt;&gt;"&amp;C74)&gt;0,"단위 섞임",""))</f>
        <v/>
      </c>
    </row>
    <row r="75">
      <c r="A75" s="23">
        <f>IFERROR(INDEX('주문 접수 대장'!$F$4:$F$503,MATCH(70,'주문 접수 대장'!$S$4:$S$503,0)),"")</f>
        <v/>
      </c>
      <c r="B75" s="24">
        <f>IF($A75="","",INDEX('주문 접수 대장'!$G$4:$G$503,MATCH($A75,'주문 접수 대장'!$F$4:$F$503,0))&amp;"")</f>
        <v/>
      </c>
      <c r="C75" s="14">
        <f>IF($A75="","",INDEX('주문 접수 대장'!$I$4:$I$503,MATCH($A75,'주문 접수 대장'!$F$4:$F$503,0))&amp;"")</f>
        <v/>
      </c>
      <c r="D75" s="25">
        <f>IF($A75="","",COUNTIFS('주문 접수 대장'!$F$4:$F$503,$A75,'주문 접수 대장'!$A$4:$A$503,"&gt;="&amp;$B$3,'주문 접수 대장'!$A$4:$A$503,"&lt;="&amp;$D$3))</f>
        <v/>
      </c>
      <c r="E75" s="16">
        <f>IF($A75="","",SUMIFS('주문 접수 대장'!$H$4:$H$503,'주문 접수 대장'!$F$4:$F$503,$A75,'주문 접수 대장'!$A$4:$A$503,"&gt;="&amp;$B$3,'주문 접수 대장'!$A$4:$A$503,"&lt;="&amp;$D$3))</f>
        <v/>
      </c>
      <c r="F75" s="26">
        <f>IF($A75="","",SUMIFS('주문 접수 대장'!$K$4:$K$503,'주문 접수 대장'!$F$4:$F$503,$A75,'주문 접수 대장'!$A$4:$A$503,"&gt;="&amp;$B$3,'주문 접수 대장'!$A$4:$A$503,"&lt;="&amp;$D$3))</f>
        <v/>
      </c>
      <c r="G75" s="16">
        <f>IF($A75="","",SUMIFS('주문 접수 대장'!$H$4:$H$503,'주문 접수 대장'!$F$4:$F$503,$A75,'주문 접수 대장'!$A$4:$A$503,"&gt;="&amp;$B$3,'주문 접수 대장'!$A$4:$A$503,"&lt;="&amp;$D$3,'주문 접수 대장'!$O$4:$O$503,"&lt;&gt;납품완료",'주문 접수 대장'!$O$4:$O$503,"&lt;&gt;취소"))</f>
        <v/>
      </c>
      <c r="H75" s="25">
        <f>IF($A75="","",COUNTIFS('주문 접수 대장'!$F$4:$F$503,$A75,'주문 접수 대장'!$A$4:$A$503,"&gt;="&amp;$B$3,'주문 접수 대장'!$A$4:$A$503,"&lt;="&amp;$D$3,'주문 접수 대장'!$P$4:$P$503,"지연"))</f>
        <v/>
      </c>
      <c r="I75" s="25">
        <f>IF($A75="","",COUNTIFS('주문 접수 대장'!$F$4:$F$503,$A75,'주문 접수 대장'!$A$4:$A$503,"&gt;="&amp;$B$3,'주문 접수 대장'!$A$4:$A$503,"&lt;="&amp;$D$3,'주문 접수 대장'!$O$4:$O$503,"취소"))</f>
        <v/>
      </c>
      <c r="J75" s="27">
        <f>IF($A75="","",IF(COUNTIFS('주문 접수 대장'!$F$4:$F$503,$A75,'주문 접수 대장'!$I$4:$I$503,"&lt;&gt;"&amp;C75)&gt;0,"단위 섞임",""))</f>
        <v/>
      </c>
    </row>
    <row r="76">
      <c r="A76" s="23">
        <f>IFERROR(INDEX('주문 접수 대장'!$F$4:$F$503,MATCH(71,'주문 접수 대장'!$S$4:$S$503,0)),"")</f>
        <v/>
      </c>
      <c r="B76" s="24">
        <f>IF($A76="","",INDEX('주문 접수 대장'!$G$4:$G$503,MATCH($A76,'주문 접수 대장'!$F$4:$F$503,0))&amp;"")</f>
        <v/>
      </c>
      <c r="C76" s="14">
        <f>IF($A76="","",INDEX('주문 접수 대장'!$I$4:$I$503,MATCH($A76,'주문 접수 대장'!$F$4:$F$503,0))&amp;"")</f>
        <v/>
      </c>
      <c r="D76" s="25">
        <f>IF($A76="","",COUNTIFS('주문 접수 대장'!$F$4:$F$503,$A76,'주문 접수 대장'!$A$4:$A$503,"&gt;="&amp;$B$3,'주문 접수 대장'!$A$4:$A$503,"&lt;="&amp;$D$3))</f>
        <v/>
      </c>
      <c r="E76" s="16">
        <f>IF($A76="","",SUMIFS('주문 접수 대장'!$H$4:$H$503,'주문 접수 대장'!$F$4:$F$503,$A76,'주문 접수 대장'!$A$4:$A$503,"&gt;="&amp;$B$3,'주문 접수 대장'!$A$4:$A$503,"&lt;="&amp;$D$3))</f>
        <v/>
      </c>
      <c r="F76" s="26">
        <f>IF($A76="","",SUMIFS('주문 접수 대장'!$K$4:$K$503,'주문 접수 대장'!$F$4:$F$503,$A76,'주문 접수 대장'!$A$4:$A$503,"&gt;="&amp;$B$3,'주문 접수 대장'!$A$4:$A$503,"&lt;="&amp;$D$3))</f>
        <v/>
      </c>
      <c r="G76" s="16">
        <f>IF($A76="","",SUMIFS('주문 접수 대장'!$H$4:$H$503,'주문 접수 대장'!$F$4:$F$503,$A76,'주문 접수 대장'!$A$4:$A$503,"&gt;="&amp;$B$3,'주문 접수 대장'!$A$4:$A$503,"&lt;="&amp;$D$3,'주문 접수 대장'!$O$4:$O$503,"&lt;&gt;납품완료",'주문 접수 대장'!$O$4:$O$503,"&lt;&gt;취소"))</f>
        <v/>
      </c>
      <c r="H76" s="25">
        <f>IF($A76="","",COUNTIFS('주문 접수 대장'!$F$4:$F$503,$A76,'주문 접수 대장'!$A$4:$A$503,"&gt;="&amp;$B$3,'주문 접수 대장'!$A$4:$A$503,"&lt;="&amp;$D$3,'주문 접수 대장'!$P$4:$P$503,"지연"))</f>
        <v/>
      </c>
      <c r="I76" s="25">
        <f>IF($A76="","",COUNTIFS('주문 접수 대장'!$F$4:$F$503,$A76,'주문 접수 대장'!$A$4:$A$503,"&gt;="&amp;$B$3,'주문 접수 대장'!$A$4:$A$503,"&lt;="&amp;$D$3,'주문 접수 대장'!$O$4:$O$503,"취소"))</f>
        <v/>
      </c>
      <c r="J76" s="27">
        <f>IF($A76="","",IF(COUNTIFS('주문 접수 대장'!$F$4:$F$503,$A76,'주문 접수 대장'!$I$4:$I$503,"&lt;&gt;"&amp;C76)&gt;0,"단위 섞임",""))</f>
        <v/>
      </c>
    </row>
    <row r="77">
      <c r="A77" s="23">
        <f>IFERROR(INDEX('주문 접수 대장'!$F$4:$F$503,MATCH(72,'주문 접수 대장'!$S$4:$S$503,0)),"")</f>
        <v/>
      </c>
      <c r="B77" s="24">
        <f>IF($A77="","",INDEX('주문 접수 대장'!$G$4:$G$503,MATCH($A77,'주문 접수 대장'!$F$4:$F$503,0))&amp;"")</f>
        <v/>
      </c>
      <c r="C77" s="14">
        <f>IF($A77="","",INDEX('주문 접수 대장'!$I$4:$I$503,MATCH($A77,'주문 접수 대장'!$F$4:$F$503,0))&amp;"")</f>
        <v/>
      </c>
      <c r="D77" s="25">
        <f>IF($A77="","",COUNTIFS('주문 접수 대장'!$F$4:$F$503,$A77,'주문 접수 대장'!$A$4:$A$503,"&gt;="&amp;$B$3,'주문 접수 대장'!$A$4:$A$503,"&lt;="&amp;$D$3))</f>
        <v/>
      </c>
      <c r="E77" s="16">
        <f>IF($A77="","",SUMIFS('주문 접수 대장'!$H$4:$H$503,'주문 접수 대장'!$F$4:$F$503,$A77,'주문 접수 대장'!$A$4:$A$503,"&gt;="&amp;$B$3,'주문 접수 대장'!$A$4:$A$503,"&lt;="&amp;$D$3))</f>
        <v/>
      </c>
      <c r="F77" s="26">
        <f>IF($A77="","",SUMIFS('주문 접수 대장'!$K$4:$K$503,'주문 접수 대장'!$F$4:$F$503,$A77,'주문 접수 대장'!$A$4:$A$503,"&gt;="&amp;$B$3,'주문 접수 대장'!$A$4:$A$503,"&lt;="&amp;$D$3))</f>
        <v/>
      </c>
      <c r="G77" s="16">
        <f>IF($A77="","",SUMIFS('주문 접수 대장'!$H$4:$H$503,'주문 접수 대장'!$F$4:$F$503,$A77,'주문 접수 대장'!$A$4:$A$503,"&gt;="&amp;$B$3,'주문 접수 대장'!$A$4:$A$503,"&lt;="&amp;$D$3,'주문 접수 대장'!$O$4:$O$503,"&lt;&gt;납품완료",'주문 접수 대장'!$O$4:$O$503,"&lt;&gt;취소"))</f>
        <v/>
      </c>
      <c r="H77" s="25">
        <f>IF($A77="","",COUNTIFS('주문 접수 대장'!$F$4:$F$503,$A77,'주문 접수 대장'!$A$4:$A$503,"&gt;="&amp;$B$3,'주문 접수 대장'!$A$4:$A$503,"&lt;="&amp;$D$3,'주문 접수 대장'!$P$4:$P$503,"지연"))</f>
        <v/>
      </c>
      <c r="I77" s="25">
        <f>IF($A77="","",COUNTIFS('주문 접수 대장'!$F$4:$F$503,$A77,'주문 접수 대장'!$A$4:$A$503,"&gt;="&amp;$B$3,'주문 접수 대장'!$A$4:$A$503,"&lt;="&amp;$D$3,'주문 접수 대장'!$O$4:$O$503,"취소"))</f>
        <v/>
      </c>
      <c r="J77" s="27">
        <f>IF($A77="","",IF(COUNTIFS('주문 접수 대장'!$F$4:$F$503,$A77,'주문 접수 대장'!$I$4:$I$503,"&lt;&gt;"&amp;C77)&gt;0,"단위 섞임",""))</f>
        <v/>
      </c>
    </row>
    <row r="78">
      <c r="A78" s="23">
        <f>IFERROR(INDEX('주문 접수 대장'!$F$4:$F$503,MATCH(73,'주문 접수 대장'!$S$4:$S$503,0)),"")</f>
        <v/>
      </c>
      <c r="B78" s="24">
        <f>IF($A78="","",INDEX('주문 접수 대장'!$G$4:$G$503,MATCH($A78,'주문 접수 대장'!$F$4:$F$503,0))&amp;"")</f>
        <v/>
      </c>
      <c r="C78" s="14">
        <f>IF($A78="","",INDEX('주문 접수 대장'!$I$4:$I$503,MATCH($A78,'주문 접수 대장'!$F$4:$F$503,0))&amp;"")</f>
        <v/>
      </c>
      <c r="D78" s="25">
        <f>IF($A78="","",COUNTIFS('주문 접수 대장'!$F$4:$F$503,$A78,'주문 접수 대장'!$A$4:$A$503,"&gt;="&amp;$B$3,'주문 접수 대장'!$A$4:$A$503,"&lt;="&amp;$D$3))</f>
        <v/>
      </c>
      <c r="E78" s="16">
        <f>IF($A78="","",SUMIFS('주문 접수 대장'!$H$4:$H$503,'주문 접수 대장'!$F$4:$F$503,$A78,'주문 접수 대장'!$A$4:$A$503,"&gt;="&amp;$B$3,'주문 접수 대장'!$A$4:$A$503,"&lt;="&amp;$D$3))</f>
        <v/>
      </c>
      <c r="F78" s="26">
        <f>IF($A78="","",SUMIFS('주문 접수 대장'!$K$4:$K$503,'주문 접수 대장'!$F$4:$F$503,$A78,'주문 접수 대장'!$A$4:$A$503,"&gt;="&amp;$B$3,'주문 접수 대장'!$A$4:$A$503,"&lt;="&amp;$D$3))</f>
        <v/>
      </c>
      <c r="G78" s="16">
        <f>IF($A78="","",SUMIFS('주문 접수 대장'!$H$4:$H$503,'주문 접수 대장'!$F$4:$F$503,$A78,'주문 접수 대장'!$A$4:$A$503,"&gt;="&amp;$B$3,'주문 접수 대장'!$A$4:$A$503,"&lt;="&amp;$D$3,'주문 접수 대장'!$O$4:$O$503,"&lt;&gt;납품완료",'주문 접수 대장'!$O$4:$O$503,"&lt;&gt;취소"))</f>
        <v/>
      </c>
      <c r="H78" s="25">
        <f>IF($A78="","",COUNTIFS('주문 접수 대장'!$F$4:$F$503,$A78,'주문 접수 대장'!$A$4:$A$503,"&gt;="&amp;$B$3,'주문 접수 대장'!$A$4:$A$503,"&lt;="&amp;$D$3,'주문 접수 대장'!$P$4:$P$503,"지연"))</f>
        <v/>
      </c>
      <c r="I78" s="25">
        <f>IF($A78="","",COUNTIFS('주문 접수 대장'!$F$4:$F$503,$A78,'주문 접수 대장'!$A$4:$A$503,"&gt;="&amp;$B$3,'주문 접수 대장'!$A$4:$A$503,"&lt;="&amp;$D$3,'주문 접수 대장'!$O$4:$O$503,"취소"))</f>
        <v/>
      </c>
      <c r="J78" s="27">
        <f>IF($A78="","",IF(COUNTIFS('주문 접수 대장'!$F$4:$F$503,$A78,'주문 접수 대장'!$I$4:$I$503,"&lt;&gt;"&amp;C78)&gt;0,"단위 섞임",""))</f>
        <v/>
      </c>
    </row>
    <row r="79">
      <c r="A79" s="23">
        <f>IFERROR(INDEX('주문 접수 대장'!$F$4:$F$503,MATCH(74,'주문 접수 대장'!$S$4:$S$503,0)),"")</f>
        <v/>
      </c>
      <c r="B79" s="24">
        <f>IF($A79="","",INDEX('주문 접수 대장'!$G$4:$G$503,MATCH($A79,'주문 접수 대장'!$F$4:$F$503,0))&amp;"")</f>
        <v/>
      </c>
      <c r="C79" s="14">
        <f>IF($A79="","",INDEX('주문 접수 대장'!$I$4:$I$503,MATCH($A79,'주문 접수 대장'!$F$4:$F$503,0))&amp;"")</f>
        <v/>
      </c>
      <c r="D79" s="25">
        <f>IF($A79="","",COUNTIFS('주문 접수 대장'!$F$4:$F$503,$A79,'주문 접수 대장'!$A$4:$A$503,"&gt;="&amp;$B$3,'주문 접수 대장'!$A$4:$A$503,"&lt;="&amp;$D$3))</f>
        <v/>
      </c>
      <c r="E79" s="16">
        <f>IF($A79="","",SUMIFS('주문 접수 대장'!$H$4:$H$503,'주문 접수 대장'!$F$4:$F$503,$A79,'주문 접수 대장'!$A$4:$A$503,"&gt;="&amp;$B$3,'주문 접수 대장'!$A$4:$A$503,"&lt;="&amp;$D$3))</f>
        <v/>
      </c>
      <c r="F79" s="26">
        <f>IF($A79="","",SUMIFS('주문 접수 대장'!$K$4:$K$503,'주문 접수 대장'!$F$4:$F$503,$A79,'주문 접수 대장'!$A$4:$A$503,"&gt;="&amp;$B$3,'주문 접수 대장'!$A$4:$A$503,"&lt;="&amp;$D$3))</f>
        <v/>
      </c>
      <c r="G79" s="16">
        <f>IF($A79="","",SUMIFS('주문 접수 대장'!$H$4:$H$503,'주문 접수 대장'!$F$4:$F$503,$A79,'주문 접수 대장'!$A$4:$A$503,"&gt;="&amp;$B$3,'주문 접수 대장'!$A$4:$A$503,"&lt;="&amp;$D$3,'주문 접수 대장'!$O$4:$O$503,"&lt;&gt;납품완료",'주문 접수 대장'!$O$4:$O$503,"&lt;&gt;취소"))</f>
        <v/>
      </c>
      <c r="H79" s="25">
        <f>IF($A79="","",COUNTIFS('주문 접수 대장'!$F$4:$F$503,$A79,'주문 접수 대장'!$A$4:$A$503,"&gt;="&amp;$B$3,'주문 접수 대장'!$A$4:$A$503,"&lt;="&amp;$D$3,'주문 접수 대장'!$P$4:$P$503,"지연"))</f>
        <v/>
      </c>
      <c r="I79" s="25">
        <f>IF($A79="","",COUNTIFS('주문 접수 대장'!$F$4:$F$503,$A79,'주문 접수 대장'!$A$4:$A$503,"&gt;="&amp;$B$3,'주문 접수 대장'!$A$4:$A$503,"&lt;="&amp;$D$3,'주문 접수 대장'!$O$4:$O$503,"취소"))</f>
        <v/>
      </c>
      <c r="J79" s="27">
        <f>IF($A79="","",IF(COUNTIFS('주문 접수 대장'!$F$4:$F$503,$A79,'주문 접수 대장'!$I$4:$I$503,"&lt;&gt;"&amp;C79)&gt;0,"단위 섞임",""))</f>
        <v/>
      </c>
    </row>
    <row r="80">
      <c r="A80" s="23">
        <f>IFERROR(INDEX('주문 접수 대장'!$F$4:$F$503,MATCH(75,'주문 접수 대장'!$S$4:$S$503,0)),"")</f>
        <v/>
      </c>
      <c r="B80" s="24">
        <f>IF($A80="","",INDEX('주문 접수 대장'!$G$4:$G$503,MATCH($A80,'주문 접수 대장'!$F$4:$F$503,0))&amp;"")</f>
        <v/>
      </c>
      <c r="C80" s="14">
        <f>IF($A80="","",INDEX('주문 접수 대장'!$I$4:$I$503,MATCH($A80,'주문 접수 대장'!$F$4:$F$503,0))&amp;"")</f>
        <v/>
      </c>
      <c r="D80" s="25">
        <f>IF($A80="","",COUNTIFS('주문 접수 대장'!$F$4:$F$503,$A80,'주문 접수 대장'!$A$4:$A$503,"&gt;="&amp;$B$3,'주문 접수 대장'!$A$4:$A$503,"&lt;="&amp;$D$3))</f>
        <v/>
      </c>
      <c r="E80" s="16">
        <f>IF($A80="","",SUMIFS('주문 접수 대장'!$H$4:$H$503,'주문 접수 대장'!$F$4:$F$503,$A80,'주문 접수 대장'!$A$4:$A$503,"&gt;="&amp;$B$3,'주문 접수 대장'!$A$4:$A$503,"&lt;="&amp;$D$3))</f>
        <v/>
      </c>
      <c r="F80" s="26">
        <f>IF($A80="","",SUMIFS('주문 접수 대장'!$K$4:$K$503,'주문 접수 대장'!$F$4:$F$503,$A80,'주문 접수 대장'!$A$4:$A$503,"&gt;="&amp;$B$3,'주문 접수 대장'!$A$4:$A$503,"&lt;="&amp;$D$3))</f>
        <v/>
      </c>
      <c r="G80" s="16">
        <f>IF($A80="","",SUMIFS('주문 접수 대장'!$H$4:$H$503,'주문 접수 대장'!$F$4:$F$503,$A80,'주문 접수 대장'!$A$4:$A$503,"&gt;="&amp;$B$3,'주문 접수 대장'!$A$4:$A$503,"&lt;="&amp;$D$3,'주문 접수 대장'!$O$4:$O$503,"&lt;&gt;납품완료",'주문 접수 대장'!$O$4:$O$503,"&lt;&gt;취소"))</f>
        <v/>
      </c>
      <c r="H80" s="25">
        <f>IF($A80="","",COUNTIFS('주문 접수 대장'!$F$4:$F$503,$A80,'주문 접수 대장'!$A$4:$A$503,"&gt;="&amp;$B$3,'주문 접수 대장'!$A$4:$A$503,"&lt;="&amp;$D$3,'주문 접수 대장'!$P$4:$P$503,"지연"))</f>
        <v/>
      </c>
      <c r="I80" s="25">
        <f>IF($A80="","",COUNTIFS('주문 접수 대장'!$F$4:$F$503,$A80,'주문 접수 대장'!$A$4:$A$503,"&gt;="&amp;$B$3,'주문 접수 대장'!$A$4:$A$503,"&lt;="&amp;$D$3,'주문 접수 대장'!$O$4:$O$503,"취소"))</f>
        <v/>
      </c>
      <c r="J80" s="27">
        <f>IF($A80="","",IF(COUNTIFS('주문 접수 대장'!$F$4:$F$503,$A80,'주문 접수 대장'!$I$4:$I$503,"&lt;&gt;"&amp;C80)&gt;0,"단위 섞임",""))</f>
        <v/>
      </c>
    </row>
    <row r="81">
      <c r="A81" s="23">
        <f>IFERROR(INDEX('주문 접수 대장'!$F$4:$F$503,MATCH(76,'주문 접수 대장'!$S$4:$S$503,0)),"")</f>
        <v/>
      </c>
      <c r="B81" s="24">
        <f>IF($A81="","",INDEX('주문 접수 대장'!$G$4:$G$503,MATCH($A81,'주문 접수 대장'!$F$4:$F$503,0))&amp;"")</f>
        <v/>
      </c>
      <c r="C81" s="14">
        <f>IF($A81="","",INDEX('주문 접수 대장'!$I$4:$I$503,MATCH($A81,'주문 접수 대장'!$F$4:$F$503,0))&amp;"")</f>
        <v/>
      </c>
      <c r="D81" s="25">
        <f>IF($A81="","",COUNTIFS('주문 접수 대장'!$F$4:$F$503,$A81,'주문 접수 대장'!$A$4:$A$503,"&gt;="&amp;$B$3,'주문 접수 대장'!$A$4:$A$503,"&lt;="&amp;$D$3))</f>
        <v/>
      </c>
      <c r="E81" s="16">
        <f>IF($A81="","",SUMIFS('주문 접수 대장'!$H$4:$H$503,'주문 접수 대장'!$F$4:$F$503,$A81,'주문 접수 대장'!$A$4:$A$503,"&gt;="&amp;$B$3,'주문 접수 대장'!$A$4:$A$503,"&lt;="&amp;$D$3))</f>
        <v/>
      </c>
      <c r="F81" s="26">
        <f>IF($A81="","",SUMIFS('주문 접수 대장'!$K$4:$K$503,'주문 접수 대장'!$F$4:$F$503,$A81,'주문 접수 대장'!$A$4:$A$503,"&gt;="&amp;$B$3,'주문 접수 대장'!$A$4:$A$503,"&lt;="&amp;$D$3))</f>
        <v/>
      </c>
      <c r="G81" s="16">
        <f>IF($A81="","",SUMIFS('주문 접수 대장'!$H$4:$H$503,'주문 접수 대장'!$F$4:$F$503,$A81,'주문 접수 대장'!$A$4:$A$503,"&gt;="&amp;$B$3,'주문 접수 대장'!$A$4:$A$503,"&lt;="&amp;$D$3,'주문 접수 대장'!$O$4:$O$503,"&lt;&gt;납품완료",'주문 접수 대장'!$O$4:$O$503,"&lt;&gt;취소"))</f>
        <v/>
      </c>
      <c r="H81" s="25">
        <f>IF($A81="","",COUNTIFS('주문 접수 대장'!$F$4:$F$503,$A81,'주문 접수 대장'!$A$4:$A$503,"&gt;="&amp;$B$3,'주문 접수 대장'!$A$4:$A$503,"&lt;="&amp;$D$3,'주문 접수 대장'!$P$4:$P$503,"지연"))</f>
        <v/>
      </c>
      <c r="I81" s="25">
        <f>IF($A81="","",COUNTIFS('주문 접수 대장'!$F$4:$F$503,$A81,'주문 접수 대장'!$A$4:$A$503,"&gt;="&amp;$B$3,'주문 접수 대장'!$A$4:$A$503,"&lt;="&amp;$D$3,'주문 접수 대장'!$O$4:$O$503,"취소"))</f>
        <v/>
      </c>
      <c r="J81" s="27">
        <f>IF($A81="","",IF(COUNTIFS('주문 접수 대장'!$F$4:$F$503,$A81,'주문 접수 대장'!$I$4:$I$503,"&lt;&gt;"&amp;C81)&gt;0,"단위 섞임",""))</f>
        <v/>
      </c>
    </row>
    <row r="82">
      <c r="A82" s="23">
        <f>IFERROR(INDEX('주문 접수 대장'!$F$4:$F$503,MATCH(77,'주문 접수 대장'!$S$4:$S$503,0)),"")</f>
        <v/>
      </c>
      <c r="B82" s="24">
        <f>IF($A82="","",INDEX('주문 접수 대장'!$G$4:$G$503,MATCH($A82,'주문 접수 대장'!$F$4:$F$503,0))&amp;"")</f>
        <v/>
      </c>
      <c r="C82" s="14">
        <f>IF($A82="","",INDEX('주문 접수 대장'!$I$4:$I$503,MATCH($A82,'주문 접수 대장'!$F$4:$F$503,0))&amp;"")</f>
        <v/>
      </c>
      <c r="D82" s="25">
        <f>IF($A82="","",COUNTIFS('주문 접수 대장'!$F$4:$F$503,$A82,'주문 접수 대장'!$A$4:$A$503,"&gt;="&amp;$B$3,'주문 접수 대장'!$A$4:$A$503,"&lt;="&amp;$D$3))</f>
        <v/>
      </c>
      <c r="E82" s="16">
        <f>IF($A82="","",SUMIFS('주문 접수 대장'!$H$4:$H$503,'주문 접수 대장'!$F$4:$F$503,$A82,'주문 접수 대장'!$A$4:$A$503,"&gt;="&amp;$B$3,'주문 접수 대장'!$A$4:$A$503,"&lt;="&amp;$D$3))</f>
        <v/>
      </c>
      <c r="F82" s="26">
        <f>IF($A82="","",SUMIFS('주문 접수 대장'!$K$4:$K$503,'주문 접수 대장'!$F$4:$F$503,$A82,'주문 접수 대장'!$A$4:$A$503,"&gt;="&amp;$B$3,'주문 접수 대장'!$A$4:$A$503,"&lt;="&amp;$D$3))</f>
        <v/>
      </c>
      <c r="G82" s="16">
        <f>IF($A82="","",SUMIFS('주문 접수 대장'!$H$4:$H$503,'주문 접수 대장'!$F$4:$F$503,$A82,'주문 접수 대장'!$A$4:$A$503,"&gt;="&amp;$B$3,'주문 접수 대장'!$A$4:$A$503,"&lt;="&amp;$D$3,'주문 접수 대장'!$O$4:$O$503,"&lt;&gt;납품완료",'주문 접수 대장'!$O$4:$O$503,"&lt;&gt;취소"))</f>
        <v/>
      </c>
      <c r="H82" s="25">
        <f>IF($A82="","",COUNTIFS('주문 접수 대장'!$F$4:$F$503,$A82,'주문 접수 대장'!$A$4:$A$503,"&gt;="&amp;$B$3,'주문 접수 대장'!$A$4:$A$503,"&lt;="&amp;$D$3,'주문 접수 대장'!$P$4:$P$503,"지연"))</f>
        <v/>
      </c>
      <c r="I82" s="25">
        <f>IF($A82="","",COUNTIFS('주문 접수 대장'!$F$4:$F$503,$A82,'주문 접수 대장'!$A$4:$A$503,"&gt;="&amp;$B$3,'주문 접수 대장'!$A$4:$A$503,"&lt;="&amp;$D$3,'주문 접수 대장'!$O$4:$O$503,"취소"))</f>
        <v/>
      </c>
      <c r="J82" s="27">
        <f>IF($A82="","",IF(COUNTIFS('주문 접수 대장'!$F$4:$F$503,$A82,'주문 접수 대장'!$I$4:$I$503,"&lt;&gt;"&amp;C82)&gt;0,"단위 섞임",""))</f>
        <v/>
      </c>
    </row>
    <row r="83">
      <c r="A83" s="23">
        <f>IFERROR(INDEX('주문 접수 대장'!$F$4:$F$503,MATCH(78,'주문 접수 대장'!$S$4:$S$503,0)),"")</f>
        <v/>
      </c>
      <c r="B83" s="24">
        <f>IF($A83="","",INDEX('주문 접수 대장'!$G$4:$G$503,MATCH($A83,'주문 접수 대장'!$F$4:$F$503,0))&amp;"")</f>
        <v/>
      </c>
      <c r="C83" s="14">
        <f>IF($A83="","",INDEX('주문 접수 대장'!$I$4:$I$503,MATCH($A83,'주문 접수 대장'!$F$4:$F$503,0))&amp;"")</f>
        <v/>
      </c>
      <c r="D83" s="25">
        <f>IF($A83="","",COUNTIFS('주문 접수 대장'!$F$4:$F$503,$A83,'주문 접수 대장'!$A$4:$A$503,"&gt;="&amp;$B$3,'주문 접수 대장'!$A$4:$A$503,"&lt;="&amp;$D$3))</f>
        <v/>
      </c>
      <c r="E83" s="16">
        <f>IF($A83="","",SUMIFS('주문 접수 대장'!$H$4:$H$503,'주문 접수 대장'!$F$4:$F$503,$A83,'주문 접수 대장'!$A$4:$A$503,"&gt;="&amp;$B$3,'주문 접수 대장'!$A$4:$A$503,"&lt;="&amp;$D$3))</f>
        <v/>
      </c>
      <c r="F83" s="26">
        <f>IF($A83="","",SUMIFS('주문 접수 대장'!$K$4:$K$503,'주문 접수 대장'!$F$4:$F$503,$A83,'주문 접수 대장'!$A$4:$A$503,"&gt;="&amp;$B$3,'주문 접수 대장'!$A$4:$A$503,"&lt;="&amp;$D$3))</f>
        <v/>
      </c>
      <c r="G83" s="16">
        <f>IF($A83="","",SUMIFS('주문 접수 대장'!$H$4:$H$503,'주문 접수 대장'!$F$4:$F$503,$A83,'주문 접수 대장'!$A$4:$A$503,"&gt;="&amp;$B$3,'주문 접수 대장'!$A$4:$A$503,"&lt;="&amp;$D$3,'주문 접수 대장'!$O$4:$O$503,"&lt;&gt;납품완료",'주문 접수 대장'!$O$4:$O$503,"&lt;&gt;취소"))</f>
        <v/>
      </c>
      <c r="H83" s="25">
        <f>IF($A83="","",COUNTIFS('주문 접수 대장'!$F$4:$F$503,$A83,'주문 접수 대장'!$A$4:$A$503,"&gt;="&amp;$B$3,'주문 접수 대장'!$A$4:$A$503,"&lt;="&amp;$D$3,'주문 접수 대장'!$P$4:$P$503,"지연"))</f>
        <v/>
      </c>
      <c r="I83" s="25">
        <f>IF($A83="","",COUNTIFS('주문 접수 대장'!$F$4:$F$503,$A83,'주문 접수 대장'!$A$4:$A$503,"&gt;="&amp;$B$3,'주문 접수 대장'!$A$4:$A$503,"&lt;="&amp;$D$3,'주문 접수 대장'!$O$4:$O$503,"취소"))</f>
        <v/>
      </c>
      <c r="J83" s="27">
        <f>IF($A83="","",IF(COUNTIFS('주문 접수 대장'!$F$4:$F$503,$A83,'주문 접수 대장'!$I$4:$I$503,"&lt;&gt;"&amp;C83)&gt;0,"단위 섞임",""))</f>
        <v/>
      </c>
    </row>
    <row r="84">
      <c r="A84" s="23">
        <f>IFERROR(INDEX('주문 접수 대장'!$F$4:$F$503,MATCH(79,'주문 접수 대장'!$S$4:$S$503,0)),"")</f>
        <v/>
      </c>
      <c r="B84" s="24">
        <f>IF($A84="","",INDEX('주문 접수 대장'!$G$4:$G$503,MATCH($A84,'주문 접수 대장'!$F$4:$F$503,0))&amp;"")</f>
        <v/>
      </c>
      <c r="C84" s="14">
        <f>IF($A84="","",INDEX('주문 접수 대장'!$I$4:$I$503,MATCH($A84,'주문 접수 대장'!$F$4:$F$503,0))&amp;"")</f>
        <v/>
      </c>
      <c r="D84" s="25">
        <f>IF($A84="","",COUNTIFS('주문 접수 대장'!$F$4:$F$503,$A84,'주문 접수 대장'!$A$4:$A$503,"&gt;="&amp;$B$3,'주문 접수 대장'!$A$4:$A$503,"&lt;="&amp;$D$3))</f>
        <v/>
      </c>
      <c r="E84" s="16">
        <f>IF($A84="","",SUMIFS('주문 접수 대장'!$H$4:$H$503,'주문 접수 대장'!$F$4:$F$503,$A84,'주문 접수 대장'!$A$4:$A$503,"&gt;="&amp;$B$3,'주문 접수 대장'!$A$4:$A$503,"&lt;="&amp;$D$3))</f>
        <v/>
      </c>
      <c r="F84" s="26">
        <f>IF($A84="","",SUMIFS('주문 접수 대장'!$K$4:$K$503,'주문 접수 대장'!$F$4:$F$503,$A84,'주문 접수 대장'!$A$4:$A$503,"&gt;="&amp;$B$3,'주문 접수 대장'!$A$4:$A$503,"&lt;="&amp;$D$3))</f>
        <v/>
      </c>
      <c r="G84" s="16">
        <f>IF($A84="","",SUMIFS('주문 접수 대장'!$H$4:$H$503,'주문 접수 대장'!$F$4:$F$503,$A84,'주문 접수 대장'!$A$4:$A$503,"&gt;="&amp;$B$3,'주문 접수 대장'!$A$4:$A$503,"&lt;="&amp;$D$3,'주문 접수 대장'!$O$4:$O$503,"&lt;&gt;납품완료",'주문 접수 대장'!$O$4:$O$503,"&lt;&gt;취소"))</f>
        <v/>
      </c>
      <c r="H84" s="25">
        <f>IF($A84="","",COUNTIFS('주문 접수 대장'!$F$4:$F$503,$A84,'주문 접수 대장'!$A$4:$A$503,"&gt;="&amp;$B$3,'주문 접수 대장'!$A$4:$A$503,"&lt;="&amp;$D$3,'주문 접수 대장'!$P$4:$P$503,"지연"))</f>
        <v/>
      </c>
      <c r="I84" s="25">
        <f>IF($A84="","",COUNTIFS('주문 접수 대장'!$F$4:$F$503,$A84,'주문 접수 대장'!$A$4:$A$503,"&gt;="&amp;$B$3,'주문 접수 대장'!$A$4:$A$503,"&lt;="&amp;$D$3,'주문 접수 대장'!$O$4:$O$503,"취소"))</f>
        <v/>
      </c>
      <c r="J84" s="27">
        <f>IF($A84="","",IF(COUNTIFS('주문 접수 대장'!$F$4:$F$503,$A84,'주문 접수 대장'!$I$4:$I$503,"&lt;&gt;"&amp;C84)&gt;0,"단위 섞임",""))</f>
        <v/>
      </c>
    </row>
    <row r="85">
      <c r="A85" s="23">
        <f>IFERROR(INDEX('주문 접수 대장'!$F$4:$F$503,MATCH(80,'주문 접수 대장'!$S$4:$S$503,0)),"")</f>
        <v/>
      </c>
      <c r="B85" s="24">
        <f>IF($A85="","",INDEX('주문 접수 대장'!$G$4:$G$503,MATCH($A85,'주문 접수 대장'!$F$4:$F$503,0))&amp;"")</f>
        <v/>
      </c>
      <c r="C85" s="14">
        <f>IF($A85="","",INDEX('주문 접수 대장'!$I$4:$I$503,MATCH($A85,'주문 접수 대장'!$F$4:$F$503,0))&amp;"")</f>
        <v/>
      </c>
      <c r="D85" s="25">
        <f>IF($A85="","",COUNTIFS('주문 접수 대장'!$F$4:$F$503,$A85,'주문 접수 대장'!$A$4:$A$503,"&gt;="&amp;$B$3,'주문 접수 대장'!$A$4:$A$503,"&lt;="&amp;$D$3))</f>
        <v/>
      </c>
      <c r="E85" s="16">
        <f>IF($A85="","",SUMIFS('주문 접수 대장'!$H$4:$H$503,'주문 접수 대장'!$F$4:$F$503,$A85,'주문 접수 대장'!$A$4:$A$503,"&gt;="&amp;$B$3,'주문 접수 대장'!$A$4:$A$503,"&lt;="&amp;$D$3))</f>
        <v/>
      </c>
      <c r="F85" s="26">
        <f>IF($A85="","",SUMIFS('주문 접수 대장'!$K$4:$K$503,'주문 접수 대장'!$F$4:$F$503,$A85,'주문 접수 대장'!$A$4:$A$503,"&gt;="&amp;$B$3,'주문 접수 대장'!$A$4:$A$503,"&lt;="&amp;$D$3))</f>
        <v/>
      </c>
      <c r="G85" s="16">
        <f>IF($A85="","",SUMIFS('주문 접수 대장'!$H$4:$H$503,'주문 접수 대장'!$F$4:$F$503,$A85,'주문 접수 대장'!$A$4:$A$503,"&gt;="&amp;$B$3,'주문 접수 대장'!$A$4:$A$503,"&lt;="&amp;$D$3,'주문 접수 대장'!$O$4:$O$503,"&lt;&gt;납품완료",'주문 접수 대장'!$O$4:$O$503,"&lt;&gt;취소"))</f>
        <v/>
      </c>
      <c r="H85" s="25">
        <f>IF($A85="","",COUNTIFS('주문 접수 대장'!$F$4:$F$503,$A85,'주문 접수 대장'!$A$4:$A$503,"&gt;="&amp;$B$3,'주문 접수 대장'!$A$4:$A$503,"&lt;="&amp;$D$3,'주문 접수 대장'!$P$4:$P$503,"지연"))</f>
        <v/>
      </c>
      <c r="I85" s="25">
        <f>IF($A85="","",COUNTIFS('주문 접수 대장'!$F$4:$F$503,$A85,'주문 접수 대장'!$A$4:$A$503,"&gt;="&amp;$B$3,'주문 접수 대장'!$A$4:$A$503,"&lt;="&amp;$D$3,'주문 접수 대장'!$O$4:$O$503,"취소"))</f>
        <v/>
      </c>
      <c r="J85" s="27">
        <f>IF($A85="","",IF(COUNTIFS('주문 접수 대장'!$F$4:$F$503,$A85,'주문 접수 대장'!$I$4:$I$503,"&lt;&gt;"&amp;C85)&gt;0,"단위 섞임",""))</f>
        <v/>
      </c>
    </row>
    <row r="86">
      <c r="A86" s="23">
        <f>IFERROR(INDEX('주문 접수 대장'!$F$4:$F$503,MATCH(81,'주문 접수 대장'!$S$4:$S$503,0)),"")</f>
        <v/>
      </c>
      <c r="B86" s="24">
        <f>IF($A86="","",INDEX('주문 접수 대장'!$G$4:$G$503,MATCH($A86,'주문 접수 대장'!$F$4:$F$503,0))&amp;"")</f>
        <v/>
      </c>
      <c r="C86" s="14">
        <f>IF($A86="","",INDEX('주문 접수 대장'!$I$4:$I$503,MATCH($A86,'주문 접수 대장'!$F$4:$F$503,0))&amp;"")</f>
        <v/>
      </c>
      <c r="D86" s="25">
        <f>IF($A86="","",COUNTIFS('주문 접수 대장'!$F$4:$F$503,$A86,'주문 접수 대장'!$A$4:$A$503,"&gt;="&amp;$B$3,'주문 접수 대장'!$A$4:$A$503,"&lt;="&amp;$D$3))</f>
        <v/>
      </c>
      <c r="E86" s="16">
        <f>IF($A86="","",SUMIFS('주문 접수 대장'!$H$4:$H$503,'주문 접수 대장'!$F$4:$F$503,$A86,'주문 접수 대장'!$A$4:$A$503,"&gt;="&amp;$B$3,'주문 접수 대장'!$A$4:$A$503,"&lt;="&amp;$D$3))</f>
        <v/>
      </c>
      <c r="F86" s="26">
        <f>IF($A86="","",SUMIFS('주문 접수 대장'!$K$4:$K$503,'주문 접수 대장'!$F$4:$F$503,$A86,'주문 접수 대장'!$A$4:$A$503,"&gt;="&amp;$B$3,'주문 접수 대장'!$A$4:$A$503,"&lt;="&amp;$D$3))</f>
        <v/>
      </c>
      <c r="G86" s="16">
        <f>IF($A86="","",SUMIFS('주문 접수 대장'!$H$4:$H$503,'주문 접수 대장'!$F$4:$F$503,$A86,'주문 접수 대장'!$A$4:$A$503,"&gt;="&amp;$B$3,'주문 접수 대장'!$A$4:$A$503,"&lt;="&amp;$D$3,'주문 접수 대장'!$O$4:$O$503,"&lt;&gt;납품완료",'주문 접수 대장'!$O$4:$O$503,"&lt;&gt;취소"))</f>
        <v/>
      </c>
      <c r="H86" s="25">
        <f>IF($A86="","",COUNTIFS('주문 접수 대장'!$F$4:$F$503,$A86,'주문 접수 대장'!$A$4:$A$503,"&gt;="&amp;$B$3,'주문 접수 대장'!$A$4:$A$503,"&lt;="&amp;$D$3,'주문 접수 대장'!$P$4:$P$503,"지연"))</f>
        <v/>
      </c>
      <c r="I86" s="25">
        <f>IF($A86="","",COUNTIFS('주문 접수 대장'!$F$4:$F$503,$A86,'주문 접수 대장'!$A$4:$A$503,"&gt;="&amp;$B$3,'주문 접수 대장'!$A$4:$A$503,"&lt;="&amp;$D$3,'주문 접수 대장'!$O$4:$O$503,"취소"))</f>
        <v/>
      </c>
      <c r="J86" s="27">
        <f>IF($A86="","",IF(COUNTIFS('주문 접수 대장'!$F$4:$F$503,$A86,'주문 접수 대장'!$I$4:$I$503,"&lt;&gt;"&amp;C86)&gt;0,"단위 섞임",""))</f>
        <v/>
      </c>
    </row>
    <row r="87">
      <c r="A87" s="23">
        <f>IFERROR(INDEX('주문 접수 대장'!$F$4:$F$503,MATCH(82,'주문 접수 대장'!$S$4:$S$503,0)),"")</f>
        <v/>
      </c>
      <c r="B87" s="24">
        <f>IF($A87="","",INDEX('주문 접수 대장'!$G$4:$G$503,MATCH($A87,'주문 접수 대장'!$F$4:$F$503,0))&amp;"")</f>
        <v/>
      </c>
      <c r="C87" s="14">
        <f>IF($A87="","",INDEX('주문 접수 대장'!$I$4:$I$503,MATCH($A87,'주문 접수 대장'!$F$4:$F$503,0))&amp;"")</f>
        <v/>
      </c>
      <c r="D87" s="25">
        <f>IF($A87="","",COUNTIFS('주문 접수 대장'!$F$4:$F$503,$A87,'주문 접수 대장'!$A$4:$A$503,"&gt;="&amp;$B$3,'주문 접수 대장'!$A$4:$A$503,"&lt;="&amp;$D$3))</f>
        <v/>
      </c>
      <c r="E87" s="16">
        <f>IF($A87="","",SUMIFS('주문 접수 대장'!$H$4:$H$503,'주문 접수 대장'!$F$4:$F$503,$A87,'주문 접수 대장'!$A$4:$A$503,"&gt;="&amp;$B$3,'주문 접수 대장'!$A$4:$A$503,"&lt;="&amp;$D$3))</f>
        <v/>
      </c>
      <c r="F87" s="26">
        <f>IF($A87="","",SUMIFS('주문 접수 대장'!$K$4:$K$503,'주문 접수 대장'!$F$4:$F$503,$A87,'주문 접수 대장'!$A$4:$A$503,"&gt;="&amp;$B$3,'주문 접수 대장'!$A$4:$A$503,"&lt;="&amp;$D$3))</f>
        <v/>
      </c>
      <c r="G87" s="16">
        <f>IF($A87="","",SUMIFS('주문 접수 대장'!$H$4:$H$503,'주문 접수 대장'!$F$4:$F$503,$A87,'주문 접수 대장'!$A$4:$A$503,"&gt;="&amp;$B$3,'주문 접수 대장'!$A$4:$A$503,"&lt;="&amp;$D$3,'주문 접수 대장'!$O$4:$O$503,"&lt;&gt;납품완료",'주문 접수 대장'!$O$4:$O$503,"&lt;&gt;취소"))</f>
        <v/>
      </c>
      <c r="H87" s="25">
        <f>IF($A87="","",COUNTIFS('주문 접수 대장'!$F$4:$F$503,$A87,'주문 접수 대장'!$A$4:$A$503,"&gt;="&amp;$B$3,'주문 접수 대장'!$A$4:$A$503,"&lt;="&amp;$D$3,'주문 접수 대장'!$P$4:$P$503,"지연"))</f>
        <v/>
      </c>
      <c r="I87" s="25">
        <f>IF($A87="","",COUNTIFS('주문 접수 대장'!$F$4:$F$503,$A87,'주문 접수 대장'!$A$4:$A$503,"&gt;="&amp;$B$3,'주문 접수 대장'!$A$4:$A$503,"&lt;="&amp;$D$3,'주문 접수 대장'!$O$4:$O$503,"취소"))</f>
        <v/>
      </c>
      <c r="J87" s="27">
        <f>IF($A87="","",IF(COUNTIFS('주문 접수 대장'!$F$4:$F$503,$A87,'주문 접수 대장'!$I$4:$I$503,"&lt;&gt;"&amp;C87)&gt;0,"단위 섞임",""))</f>
        <v/>
      </c>
    </row>
    <row r="88">
      <c r="A88" s="23">
        <f>IFERROR(INDEX('주문 접수 대장'!$F$4:$F$503,MATCH(83,'주문 접수 대장'!$S$4:$S$503,0)),"")</f>
        <v/>
      </c>
      <c r="B88" s="24">
        <f>IF($A88="","",INDEX('주문 접수 대장'!$G$4:$G$503,MATCH($A88,'주문 접수 대장'!$F$4:$F$503,0))&amp;"")</f>
        <v/>
      </c>
      <c r="C88" s="14">
        <f>IF($A88="","",INDEX('주문 접수 대장'!$I$4:$I$503,MATCH($A88,'주문 접수 대장'!$F$4:$F$503,0))&amp;"")</f>
        <v/>
      </c>
      <c r="D88" s="25">
        <f>IF($A88="","",COUNTIFS('주문 접수 대장'!$F$4:$F$503,$A88,'주문 접수 대장'!$A$4:$A$503,"&gt;="&amp;$B$3,'주문 접수 대장'!$A$4:$A$503,"&lt;="&amp;$D$3))</f>
        <v/>
      </c>
      <c r="E88" s="16">
        <f>IF($A88="","",SUMIFS('주문 접수 대장'!$H$4:$H$503,'주문 접수 대장'!$F$4:$F$503,$A88,'주문 접수 대장'!$A$4:$A$503,"&gt;="&amp;$B$3,'주문 접수 대장'!$A$4:$A$503,"&lt;="&amp;$D$3))</f>
        <v/>
      </c>
      <c r="F88" s="26">
        <f>IF($A88="","",SUMIFS('주문 접수 대장'!$K$4:$K$503,'주문 접수 대장'!$F$4:$F$503,$A88,'주문 접수 대장'!$A$4:$A$503,"&gt;="&amp;$B$3,'주문 접수 대장'!$A$4:$A$503,"&lt;="&amp;$D$3))</f>
        <v/>
      </c>
      <c r="G88" s="16">
        <f>IF($A88="","",SUMIFS('주문 접수 대장'!$H$4:$H$503,'주문 접수 대장'!$F$4:$F$503,$A88,'주문 접수 대장'!$A$4:$A$503,"&gt;="&amp;$B$3,'주문 접수 대장'!$A$4:$A$503,"&lt;="&amp;$D$3,'주문 접수 대장'!$O$4:$O$503,"&lt;&gt;납품완료",'주문 접수 대장'!$O$4:$O$503,"&lt;&gt;취소"))</f>
        <v/>
      </c>
      <c r="H88" s="25">
        <f>IF($A88="","",COUNTIFS('주문 접수 대장'!$F$4:$F$503,$A88,'주문 접수 대장'!$A$4:$A$503,"&gt;="&amp;$B$3,'주문 접수 대장'!$A$4:$A$503,"&lt;="&amp;$D$3,'주문 접수 대장'!$P$4:$P$503,"지연"))</f>
        <v/>
      </c>
      <c r="I88" s="25">
        <f>IF($A88="","",COUNTIFS('주문 접수 대장'!$F$4:$F$503,$A88,'주문 접수 대장'!$A$4:$A$503,"&gt;="&amp;$B$3,'주문 접수 대장'!$A$4:$A$503,"&lt;="&amp;$D$3,'주문 접수 대장'!$O$4:$O$503,"취소"))</f>
        <v/>
      </c>
      <c r="J88" s="27">
        <f>IF($A88="","",IF(COUNTIFS('주문 접수 대장'!$F$4:$F$503,$A88,'주문 접수 대장'!$I$4:$I$503,"&lt;&gt;"&amp;C88)&gt;0,"단위 섞임",""))</f>
        <v/>
      </c>
    </row>
    <row r="89">
      <c r="A89" s="23">
        <f>IFERROR(INDEX('주문 접수 대장'!$F$4:$F$503,MATCH(84,'주문 접수 대장'!$S$4:$S$503,0)),"")</f>
        <v/>
      </c>
      <c r="B89" s="24">
        <f>IF($A89="","",INDEX('주문 접수 대장'!$G$4:$G$503,MATCH($A89,'주문 접수 대장'!$F$4:$F$503,0))&amp;"")</f>
        <v/>
      </c>
      <c r="C89" s="14">
        <f>IF($A89="","",INDEX('주문 접수 대장'!$I$4:$I$503,MATCH($A89,'주문 접수 대장'!$F$4:$F$503,0))&amp;"")</f>
        <v/>
      </c>
      <c r="D89" s="25">
        <f>IF($A89="","",COUNTIFS('주문 접수 대장'!$F$4:$F$503,$A89,'주문 접수 대장'!$A$4:$A$503,"&gt;="&amp;$B$3,'주문 접수 대장'!$A$4:$A$503,"&lt;="&amp;$D$3))</f>
        <v/>
      </c>
      <c r="E89" s="16">
        <f>IF($A89="","",SUMIFS('주문 접수 대장'!$H$4:$H$503,'주문 접수 대장'!$F$4:$F$503,$A89,'주문 접수 대장'!$A$4:$A$503,"&gt;="&amp;$B$3,'주문 접수 대장'!$A$4:$A$503,"&lt;="&amp;$D$3))</f>
        <v/>
      </c>
      <c r="F89" s="26">
        <f>IF($A89="","",SUMIFS('주문 접수 대장'!$K$4:$K$503,'주문 접수 대장'!$F$4:$F$503,$A89,'주문 접수 대장'!$A$4:$A$503,"&gt;="&amp;$B$3,'주문 접수 대장'!$A$4:$A$503,"&lt;="&amp;$D$3))</f>
        <v/>
      </c>
      <c r="G89" s="16">
        <f>IF($A89="","",SUMIFS('주문 접수 대장'!$H$4:$H$503,'주문 접수 대장'!$F$4:$F$503,$A89,'주문 접수 대장'!$A$4:$A$503,"&gt;="&amp;$B$3,'주문 접수 대장'!$A$4:$A$503,"&lt;="&amp;$D$3,'주문 접수 대장'!$O$4:$O$503,"&lt;&gt;납품완료",'주문 접수 대장'!$O$4:$O$503,"&lt;&gt;취소"))</f>
        <v/>
      </c>
      <c r="H89" s="25">
        <f>IF($A89="","",COUNTIFS('주문 접수 대장'!$F$4:$F$503,$A89,'주문 접수 대장'!$A$4:$A$503,"&gt;="&amp;$B$3,'주문 접수 대장'!$A$4:$A$503,"&lt;="&amp;$D$3,'주문 접수 대장'!$P$4:$P$503,"지연"))</f>
        <v/>
      </c>
      <c r="I89" s="25">
        <f>IF($A89="","",COUNTIFS('주문 접수 대장'!$F$4:$F$503,$A89,'주문 접수 대장'!$A$4:$A$503,"&gt;="&amp;$B$3,'주문 접수 대장'!$A$4:$A$503,"&lt;="&amp;$D$3,'주문 접수 대장'!$O$4:$O$503,"취소"))</f>
        <v/>
      </c>
      <c r="J89" s="27">
        <f>IF($A89="","",IF(COUNTIFS('주문 접수 대장'!$F$4:$F$503,$A89,'주문 접수 대장'!$I$4:$I$503,"&lt;&gt;"&amp;C89)&gt;0,"단위 섞임",""))</f>
        <v/>
      </c>
    </row>
    <row r="90">
      <c r="A90" s="23">
        <f>IFERROR(INDEX('주문 접수 대장'!$F$4:$F$503,MATCH(85,'주문 접수 대장'!$S$4:$S$503,0)),"")</f>
        <v/>
      </c>
      <c r="B90" s="24">
        <f>IF($A90="","",INDEX('주문 접수 대장'!$G$4:$G$503,MATCH($A90,'주문 접수 대장'!$F$4:$F$503,0))&amp;"")</f>
        <v/>
      </c>
      <c r="C90" s="14">
        <f>IF($A90="","",INDEX('주문 접수 대장'!$I$4:$I$503,MATCH($A90,'주문 접수 대장'!$F$4:$F$503,0))&amp;"")</f>
        <v/>
      </c>
      <c r="D90" s="25">
        <f>IF($A90="","",COUNTIFS('주문 접수 대장'!$F$4:$F$503,$A90,'주문 접수 대장'!$A$4:$A$503,"&gt;="&amp;$B$3,'주문 접수 대장'!$A$4:$A$503,"&lt;="&amp;$D$3))</f>
        <v/>
      </c>
      <c r="E90" s="16">
        <f>IF($A90="","",SUMIFS('주문 접수 대장'!$H$4:$H$503,'주문 접수 대장'!$F$4:$F$503,$A90,'주문 접수 대장'!$A$4:$A$503,"&gt;="&amp;$B$3,'주문 접수 대장'!$A$4:$A$503,"&lt;="&amp;$D$3))</f>
        <v/>
      </c>
      <c r="F90" s="26">
        <f>IF($A90="","",SUMIFS('주문 접수 대장'!$K$4:$K$503,'주문 접수 대장'!$F$4:$F$503,$A90,'주문 접수 대장'!$A$4:$A$503,"&gt;="&amp;$B$3,'주문 접수 대장'!$A$4:$A$503,"&lt;="&amp;$D$3))</f>
        <v/>
      </c>
      <c r="G90" s="16">
        <f>IF($A90="","",SUMIFS('주문 접수 대장'!$H$4:$H$503,'주문 접수 대장'!$F$4:$F$503,$A90,'주문 접수 대장'!$A$4:$A$503,"&gt;="&amp;$B$3,'주문 접수 대장'!$A$4:$A$503,"&lt;="&amp;$D$3,'주문 접수 대장'!$O$4:$O$503,"&lt;&gt;납품완료",'주문 접수 대장'!$O$4:$O$503,"&lt;&gt;취소"))</f>
        <v/>
      </c>
      <c r="H90" s="25">
        <f>IF($A90="","",COUNTIFS('주문 접수 대장'!$F$4:$F$503,$A90,'주문 접수 대장'!$A$4:$A$503,"&gt;="&amp;$B$3,'주문 접수 대장'!$A$4:$A$503,"&lt;="&amp;$D$3,'주문 접수 대장'!$P$4:$P$503,"지연"))</f>
        <v/>
      </c>
      <c r="I90" s="25">
        <f>IF($A90="","",COUNTIFS('주문 접수 대장'!$F$4:$F$503,$A90,'주문 접수 대장'!$A$4:$A$503,"&gt;="&amp;$B$3,'주문 접수 대장'!$A$4:$A$503,"&lt;="&amp;$D$3,'주문 접수 대장'!$O$4:$O$503,"취소"))</f>
        <v/>
      </c>
      <c r="J90" s="27">
        <f>IF($A90="","",IF(COUNTIFS('주문 접수 대장'!$F$4:$F$503,$A90,'주문 접수 대장'!$I$4:$I$503,"&lt;&gt;"&amp;C90)&gt;0,"단위 섞임",""))</f>
        <v/>
      </c>
    </row>
    <row r="91">
      <c r="A91" s="23">
        <f>IFERROR(INDEX('주문 접수 대장'!$F$4:$F$503,MATCH(86,'주문 접수 대장'!$S$4:$S$503,0)),"")</f>
        <v/>
      </c>
      <c r="B91" s="24">
        <f>IF($A91="","",INDEX('주문 접수 대장'!$G$4:$G$503,MATCH($A91,'주문 접수 대장'!$F$4:$F$503,0))&amp;"")</f>
        <v/>
      </c>
      <c r="C91" s="14">
        <f>IF($A91="","",INDEX('주문 접수 대장'!$I$4:$I$503,MATCH($A91,'주문 접수 대장'!$F$4:$F$503,0))&amp;"")</f>
        <v/>
      </c>
      <c r="D91" s="25">
        <f>IF($A91="","",COUNTIFS('주문 접수 대장'!$F$4:$F$503,$A91,'주문 접수 대장'!$A$4:$A$503,"&gt;="&amp;$B$3,'주문 접수 대장'!$A$4:$A$503,"&lt;="&amp;$D$3))</f>
        <v/>
      </c>
      <c r="E91" s="16">
        <f>IF($A91="","",SUMIFS('주문 접수 대장'!$H$4:$H$503,'주문 접수 대장'!$F$4:$F$503,$A91,'주문 접수 대장'!$A$4:$A$503,"&gt;="&amp;$B$3,'주문 접수 대장'!$A$4:$A$503,"&lt;="&amp;$D$3))</f>
        <v/>
      </c>
      <c r="F91" s="26">
        <f>IF($A91="","",SUMIFS('주문 접수 대장'!$K$4:$K$503,'주문 접수 대장'!$F$4:$F$503,$A91,'주문 접수 대장'!$A$4:$A$503,"&gt;="&amp;$B$3,'주문 접수 대장'!$A$4:$A$503,"&lt;="&amp;$D$3))</f>
        <v/>
      </c>
      <c r="G91" s="16">
        <f>IF($A91="","",SUMIFS('주문 접수 대장'!$H$4:$H$503,'주문 접수 대장'!$F$4:$F$503,$A91,'주문 접수 대장'!$A$4:$A$503,"&gt;="&amp;$B$3,'주문 접수 대장'!$A$4:$A$503,"&lt;="&amp;$D$3,'주문 접수 대장'!$O$4:$O$503,"&lt;&gt;납품완료",'주문 접수 대장'!$O$4:$O$503,"&lt;&gt;취소"))</f>
        <v/>
      </c>
      <c r="H91" s="25">
        <f>IF($A91="","",COUNTIFS('주문 접수 대장'!$F$4:$F$503,$A91,'주문 접수 대장'!$A$4:$A$503,"&gt;="&amp;$B$3,'주문 접수 대장'!$A$4:$A$503,"&lt;="&amp;$D$3,'주문 접수 대장'!$P$4:$P$503,"지연"))</f>
        <v/>
      </c>
      <c r="I91" s="25">
        <f>IF($A91="","",COUNTIFS('주문 접수 대장'!$F$4:$F$503,$A91,'주문 접수 대장'!$A$4:$A$503,"&gt;="&amp;$B$3,'주문 접수 대장'!$A$4:$A$503,"&lt;="&amp;$D$3,'주문 접수 대장'!$O$4:$O$503,"취소"))</f>
        <v/>
      </c>
      <c r="J91" s="27">
        <f>IF($A91="","",IF(COUNTIFS('주문 접수 대장'!$F$4:$F$503,$A91,'주문 접수 대장'!$I$4:$I$503,"&lt;&gt;"&amp;C91)&gt;0,"단위 섞임",""))</f>
        <v/>
      </c>
    </row>
    <row r="92">
      <c r="A92" s="23">
        <f>IFERROR(INDEX('주문 접수 대장'!$F$4:$F$503,MATCH(87,'주문 접수 대장'!$S$4:$S$503,0)),"")</f>
        <v/>
      </c>
      <c r="B92" s="24">
        <f>IF($A92="","",INDEX('주문 접수 대장'!$G$4:$G$503,MATCH($A92,'주문 접수 대장'!$F$4:$F$503,0))&amp;"")</f>
        <v/>
      </c>
      <c r="C92" s="14">
        <f>IF($A92="","",INDEX('주문 접수 대장'!$I$4:$I$503,MATCH($A92,'주문 접수 대장'!$F$4:$F$503,0))&amp;"")</f>
        <v/>
      </c>
      <c r="D92" s="25">
        <f>IF($A92="","",COUNTIFS('주문 접수 대장'!$F$4:$F$503,$A92,'주문 접수 대장'!$A$4:$A$503,"&gt;="&amp;$B$3,'주문 접수 대장'!$A$4:$A$503,"&lt;="&amp;$D$3))</f>
        <v/>
      </c>
      <c r="E92" s="16">
        <f>IF($A92="","",SUMIFS('주문 접수 대장'!$H$4:$H$503,'주문 접수 대장'!$F$4:$F$503,$A92,'주문 접수 대장'!$A$4:$A$503,"&gt;="&amp;$B$3,'주문 접수 대장'!$A$4:$A$503,"&lt;="&amp;$D$3))</f>
        <v/>
      </c>
      <c r="F92" s="26">
        <f>IF($A92="","",SUMIFS('주문 접수 대장'!$K$4:$K$503,'주문 접수 대장'!$F$4:$F$503,$A92,'주문 접수 대장'!$A$4:$A$503,"&gt;="&amp;$B$3,'주문 접수 대장'!$A$4:$A$503,"&lt;="&amp;$D$3))</f>
        <v/>
      </c>
      <c r="G92" s="16">
        <f>IF($A92="","",SUMIFS('주문 접수 대장'!$H$4:$H$503,'주문 접수 대장'!$F$4:$F$503,$A92,'주문 접수 대장'!$A$4:$A$503,"&gt;="&amp;$B$3,'주문 접수 대장'!$A$4:$A$503,"&lt;="&amp;$D$3,'주문 접수 대장'!$O$4:$O$503,"&lt;&gt;납품완료",'주문 접수 대장'!$O$4:$O$503,"&lt;&gt;취소"))</f>
        <v/>
      </c>
      <c r="H92" s="25">
        <f>IF($A92="","",COUNTIFS('주문 접수 대장'!$F$4:$F$503,$A92,'주문 접수 대장'!$A$4:$A$503,"&gt;="&amp;$B$3,'주문 접수 대장'!$A$4:$A$503,"&lt;="&amp;$D$3,'주문 접수 대장'!$P$4:$P$503,"지연"))</f>
        <v/>
      </c>
      <c r="I92" s="25">
        <f>IF($A92="","",COUNTIFS('주문 접수 대장'!$F$4:$F$503,$A92,'주문 접수 대장'!$A$4:$A$503,"&gt;="&amp;$B$3,'주문 접수 대장'!$A$4:$A$503,"&lt;="&amp;$D$3,'주문 접수 대장'!$O$4:$O$503,"취소"))</f>
        <v/>
      </c>
      <c r="J92" s="27">
        <f>IF($A92="","",IF(COUNTIFS('주문 접수 대장'!$F$4:$F$503,$A92,'주문 접수 대장'!$I$4:$I$503,"&lt;&gt;"&amp;C92)&gt;0,"단위 섞임",""))</f>
        <v/>
      </c>
    </row>
    <row r="93">
      <c r="A93" s="23">
        <f>IFERROR(INDEX('주문 접수 대장'!$F$4:$F$503,MATCH(88,'주문 접수 대장'!$S$4:$S$503,0)),"")</f>
        <v/>
      </c>
      <c r="B93" s="24">
        <f>IF($A93="","",INDEX('주문 접수 대장'!$G$4:$G$503,MATCH($A93,'주문 접수 대장'!$F$4:$F$503,0))&amp;"")</f>
        <v/>
      </c>
      <c r="C93" s="14">
        <f>IF($A93="","",INDEX('주문 접수 대장'!$I$4:$I$503,MATCH($A93,'주문 접수 대장'!$F$4:$F$503,0))&amp;"")</f>
        <v/>
      </c>
      <c r="D93" s="25">
        <f>IF($A93="","",COUNTIFS('주문 접수 대장'!$F$4:$F$503,$A93,'주문 접수 대장'!$A$4:$A$503,"&gt;="&amp;$B$3,'주문 접수 대장'!$A$4:$A$503,"&lt;="&amp;$D$3))</f>
        <v/>
      </c>
      <c r="E93" s="16">
        <f>IF($A93="","",SUMIFS('주문 접수 대장'!$H$4:$H$503,'주문 접수 대장'!$F$4:$F$503,$A93,'주문 접수 대장'!$A$4:$A$503,"&gt;="&amp;$B$3,'주문 접수 대장'!$A$4:$A$503,"&lt;="&amp;$D$3))</f>
        <v/>
      </c>
      <c r="F93" s="26">
        <f>IF($A93="","",SUMIFS('주문 접수 대장'!$K$4:$K$503,'주문 접수 대장'!$F$4:$F$503,$A93,'주문 접수 대장'!$A$4:$A$503,"&gt;="&amp;$B$3,'주문 접수 대장'!$A$4:$A$503,"&lt;="&amp;$D$3))</f>
        <v/>
      </c>
      <c r="G93" s="16">
        <f>IF($A93="","",SUMIFS('주문 접수 대장'!$H$4:$H$503,'주문 접수 대장'!$F$4:$F$503,$A93,'주문 접수 대장'!$A$4:$A$503,"&gt;="&amp;$B$3,'주문 접수 대장'!$A$4:$A$503,"&lt;="&amp;$D$3,'주문 접수 대장'!$O$4:$O$503,"&lt;&gt;납품완료",'주문 접수 대장'!$O$4:$O$503,"&lt;&gt;취소"))</f>
        <v/>
      </c>
      <c r="H93" s="25">
        <f>IF($A93="","",COUNTIFS('주문 접수 대장'!$F$4:$F$503,$A93,'주문 접수 대장'!$A$4:$A$503,"&gt;="&amp;$B$3,'주문 접수 대장'!$A$4:$A$503,"&lt;="&amp;$D$3,'주문 접수 대장'!$P$4:$P$503,"지연"))</f>
        <v/>
      </c>
      <c r="I93" s="25">
        <f>IF($A93="","",COUNTIFS('주문 접수 대장'!$F$4:$F$503,$A93,'주문 접수 대장'!$A$4:$A$503,"&gt;="&amp;$B$3,'주문 접수 대장'!$A$4:$A$503,"&lt;="&amp;$D$3,'주문 접수 대장'!$O$4:$O$503,"취소"))</f>
        <v/>
      </c>
      <c r="J93" s="27">
        <f>IF($A93="","",IF(COUNTIFS('주문 접수 대장'!$F$4:$F$503,$A93,'주문 접수 대장'!$I$4:$I$503,"&lt;&gt;"&amp;C93)&gt;0,"단위 섞임",""))</f>
        <v/>
      </c>
    </row>
    <row r="94">
      <c r="A94" s="23">
        <f>IFERROR(INDEX('주문 접수 대장'!$F$4:$F$503,MATCH(89,'주문 접수 대장'!$S$4:$S$503,0)),"")</f>
        <v/>
      </c>
      <c r="B94" s="24">
        <f>IF($A94="","",INDEX('주문 접수 대장'!$G$4:$G$503,MATCH($A94,'주문 접수 대장'!$F$4:$F$503,0))&amp;"")</f>
        <v/>
      </c>
      <c r="C94" s="14">
        <f>IF($A94="","",INDEX('주문 접수 대장'!$I$4:$I$503,MATCH($A94,'주문 접수 대장'!$F$4:$F$503,0))&amp;"")</f>
        <v/>
      </c>
      <c r="D94" s="25">
        <f>IF($A94="","",COUNTIFS('주문 접수 대장'!$F$4:$F$503,$A94,'주문 접수 대장'!$A$4:$A$503,"&gt;="&amp;$B$3,'주문 접수 대장'!$A$4:$A$503,"&lt;="&amp;$D$3))</f>
        <v/>
      </c>
      <c r="E94" s="16">
        <f>IF($A94="","",SUMIFS('주문 접수 대장'!$H$4:$H$503,'주문 접수 대장'!$F$4:$F$503,$A94,'주문 접수 대장'!$A$4:$A$503,"&gt;="&amp;$B$3,'주문 접수 대장'!$A$4:$A$503,"&lt;="&amp;$D$3))</f>
        <v/>
      </c>
      <c r="F94" s="26">
        <f>IF($A94="","",SUMIFS('주문 접수 대장'!$K$4:$K$503,'주문 접수 대장'!$F$4:$F$503,$A94,'주문 접수 대장'!$A$4:$A$503,"&gt;="&amp;$B$3,'주문 접수 대장'!$A$4:$A$503,"&lt;="&amp;$D$3))</f>
        <v/>
      </c>
      <c r="G94" s="16">
        <f>IF($A94="","",SUMIFS('주문 접수 대장'!$H$4:$H$503,'주문 접수 대장'!$F$4:$F$503,$A94,'주문 접수 대장'!$A$4:$A$503,"&gt;="&amp;$B$3,'주문 접수 대장'!$A$4:$A$503,"&lt;="&amp;$D$3,'주문 접수 대장'!$O$4:$O$503,"&lt;&gt;납품완료",'주문 접수 대장'!$O$4:$O$503,"&lt;&gt;취소"))</f>
        <v/>
      </c>
      <c r="H94" s="25">
        <f>IF($A94="","",COUNTIFS('주문 접수 대장'!$F$4:$F$503,$A94,'주문 접수 대장'!$A$4:$A$503,"&gt;="&amp;$B$3,'주문 접수 대장'!$A$4:$A$503,"&lt;="&amp;$D$3,'주문 접수 대장'!$P$4:$P$503,"지연"))</f>
        <v/>
      </c>
      <c r="I94" s="25">
        <f>IF($A94="","",COUNTIFS('주문 접수 대장'!$F$4:$F$503,$A94,'주문 접수 대장'!$A$4:$A$503,"&gt;="&amp;$B$3,'주문 접수 대장'!$A$4:$A$503,"&lt;="&amp;$D$3,'주문 접수 대장'!$O$4:$O$503,"취소"))</f>
        <v/>
      </c>
      <c r="J94" s="27">
        <f>IF($A94="","",IF(COUNTIFS('주문 접수 대장'!$F$4:$F$503,$A94,'주문 접수 대장'!$I$4:$I$503,"&lt;&gt;"&amp;C94)&gt;0,"단위 섞임",""))</f>
        <v/>
      </c>
    </row>
    <row r="95">
      <c r="A95" s="23">
        <f>IFERROR(INDEX('주문 접수 대장'!$F$4:$F$503,MATCH(90,'주문 접수 대장'!$S$4:$S$503,0)),"")</f>
        <v/>
      </c>
      <c r="B95" s="24">
        <f>IF($A95="","",INDEX('주문 접수 대장'!$G$4:$G$503,MATCH($A95,'주문 접수 대장'!$F$4:$F$503,0))&amp;"")</f>
        <v/>
      </c>
      <c r="C95" s="14">
        <f>IF($A95="","",INDEX('주문 접수 대장'!$I$4:$I$503,MATCH($A95,'주문 접수 대장'!$F$4:$F$503,0))&amp;"")</f>
        <v/>
      </c>
      <c r="D95" s="25">
        <f>IF($A95="","",COUNTIFS('주문 접수 대장'!$F$4:$F$503,$A95,'주문 접수 대장'!$A$4:$A$503,"&gt;="&amp;$B$3,'주문 접수 대장'!$A$4:$A$503,"&lt;="&amp;$D$3))</f>
        <v/>
      </c>
      <c r="E95" s="16">
        <f>IF($A95="","",SUMIFS('주문 접수 대장'!$H$4:$H$503,'주문 접수 대장'!$F$4:$F$503,$A95,'주문 접수 대장'!$A$4:$A$503,"&gt;="&amp;$B$3,'주문 접수 대장'!$A$4:$A$503,"&lt;="&amp;$D$3))</f>
        <v/>
      </c>
      <c r="F95" s="26">
        <f>IF($A95="","",SUMIFS('주문 접수 대장'!$K$4:$K$503,'주문 접수 대장'!$F$4:$F$503,$A95,'주문 접수 대장'!$A$4:$A$503,"&gt;="&amp;$B$3,'주문 접수 대장'!$A$4:$A$503,"&lt;="&amp;$D$3))</f>
        <v/>
      </c>
      <c r="G95" s="16">
        <f>IF($A95="","",SUMIFS('주문 접수 대장'!$H$4:$H$503,'주문 접수 대장'!$F$4:$F$503,$A95,'주문 접수 대장'!$A$4:$A$503,"&gt;="&amp;$B$3,'주문 접수 대장'!$A$4:$A$503,"&lt;="&amp;$D$3,'주문 접수 대장'!$O$4:$O$503,"&lt;&gt;납품완료",'주문 접수 대장'!$O$4:$O$503,"&lt;&gt;취소"))</f>
        <v/>
      </c>
      <c r="H95" s="25">
        <f>IF($A95="","",COUNTIFS('주문 접수 대장'!$F$4:$F$503,$A95,'주문 접수 대장'!$A$4:$A$503,"&gt;="&amp;$B$3,'주문 접수 대장'!$A$4:$A$503,"&lt;="&amp;$D$3,'주문 접수 대장'!$P$4:$P$503,"지연"))</f>
        <v/>
      </c>
      <c r="I95" s="25">
        <f>IF($A95="","",COUNTIFS('주문 접수 대장'!$F$4:$F$503,$A95,'주문 접수 대장'!$A$4:$A$503,"&gt;="&amp;$B$3,'주문 접수 대장'!$A$4:$A$503,"&lt;="&amp;$D$3,'주문 접수 대장'!$O$4:$O$503,"취소"))</f>
        <v/>
      </c>
      <c r="J95" s="27">
        <f>IF($A95="","",IF(COUNTIFS('주문 접수 대장'!$F$4:$F$503,$A95,'주문 접수 대장'!$I$4:$I$503,"&lt;&gt;"&amp;C95)&gt;0,"단위 섞임",""))</f>
        <v/>
      </c>
    </row>
    <row r="96">
      <c r="A96" s="23">
        <f>IFERROR(INDEX('주문 접수 대장'!$F$4:$F$503,MATCH(91,'주문 접수 대장'!$S$4:$S$503,0)),"")</f>
        <v/>
      </c>
      <c r="B96" s="24">
        <f>IF($A96="","",INDEX('주문 접수 대장'!$G$4:$G$503,MATCH($A96,'주문 접수 대장'!$F$4:$F$503,0))&amp;"")</f>
        <v/>
      </c>
      <c r="C96" s="14">
        <f>IF($A96="","",INDEX('주문 접수 대장'!$I$4:$I$503,MATCH($A96,'주문 접수 대장'!$F$4:$F$503,0))&amp;"")</f>
        <v/>
      </c>
      <c r="D96" s="25">
        <f>IF($A96="","",COUNTIFS('주문 접수 대장'!$F$4:$F$503,$A96,'주문 접수 대장'!$A$4:$A$503,"&gt;="&amp;$B$3,'주문 접수 대장'!$A$4:$A$503,"&lt;="&amp;$D$3))</f>
        <v/>
      </c>
      <c r="E96" s="16">
        <f>IF($A96="","",SUMIFS('주문 접수 대장'!$H$4:$H$503,'주문 접수 대장'!$F$4:$F$503,$A96,'주문 접수 대장'!$A$4:$A$503,"&gt;="&amp;$B$3,'주문 접수 대장'!$A$4:$A$503,"&lt;="&amp;$D$3))</f>
        <v/>
      </c>
      <c r="F96" s="26">
        <f>IF($A96="","",SUMIFS('주문 접수 대장'!$K$4:$K$503,'주문 접수 대장'!$F$4:$F$503,$A96,'주문 접수 대장'!$A$4:$A$503,"&gt;="&amp;$B$3,'주문 접수 대장'!$A$4:$A$503,"&lt;="&amp;$D$3))</f>
        <v/>
      </c>
      <c r="G96" s="16">
        <f>IF($A96="","",SUMIFS('주문 접수 대장'!$H$4:$H$503,'주문 접수 대장'!$F$4:$F$503,$A96,'주문 접수 대장'!$A$4:$A$503,"&gt;="&amp;$B$3,'주문 접수 대장'!$A$4:$A$503,"&lt;="&amp;$D$3,'주문 접수 대장'!$O$4:$O$503,"&lt;&gt;납품완료",'주문 접수 대장'!$O$4:$O$503,"&lt;&gt;취소"))</f>
        <v/>
      </c>
      <c r="H96" s="25">
        <f>IF($A96="","",COUNTIFS('주문 접수 대장'!$F$4:$F$503,$A96,'주문 접수 대장'!$A$4:$A$503,"&gt;="&amp;$B$3,'주문 접수 대장'!$A$4:$A$503,"&lt;="&amp;$D$3,'주문 접수 대장'!$P$4:$P$503,"지연"))</f>
        <v/>
      </c>
      <c r="I96" s="25">
        <f>IF($A96="","",COUNTIFS('주문 접수 대장'!$F$4:$F$503,$A96,'주문 접수 대장'!$A$4:$A$503,"&gt;="&amp;$B$3,'주문 접수 대장'!$A$4:$A$503,"&lt;="&amp;$D$3,'주문 접수 대장'!$O$4:$O$503,"취소"))</f>
        <v/>
      </c>
      <c r="J96" s="27">
        <f>IF($A96="","",IF(COUNTIFS('주문 접수 대장'!$F$4:$F$503,$A96,'주문 접수 대장'!$I$4:$I$503,"&lt;&gt;"&amp;C96)&gt;0,"단위 섞임",""))</f>
        <v/>
      </c>
    </row>
    <row r="97">
      <c r="A97" s="23">
        <f>IFERROR(INDEX('주문 접수 대장'!$F$4:$F$503,MATCH(92,'주문 접수 대장'!$S$4:$S$503,0)),"")</f>
        <v/>
      </c>
      <c r="B97" s="24">
        <f>IF($A97="","",INDEX('주문 접수 대장'!$G$4:$G$503,MATCH($A97,'주문 접수 대장'!$F$4:$F$503,0))&amp;"")</f>
        <v/>
      </c>
      <c r="C97" s="14">
        <f>IF($A97="","",INDEX('주문 접수 대장'!$I$4:$I$503,MATCH($A97,'주문 접수 대장'!$F$4:$F$503,0))&amp;"")</f>
        <v/>
      </c>
      <c r="D97" s="25">
        <f>IF($A97="","",COUNTIFS('주문 접수 대장'!$F$4:$F$503,$A97,'주문 접수 대장'!$A$4:$A$503,"&gt;="&amp;$B$3,'주문 접수 대장'!$A$4:$A$503,"&lt;="&amp;$D$3))</f>
        <v/>
      </c>
      <c r="E97" s="16">
        <f>IF($A97="","",SUMIFS('주문 접수 대장'!$H$4:$H$503,'주문 접수 대장'!$F$4:$F$503,$A97,'주문 접수 대장'!$A$4:$A$503,"&gt;="&amp;$B$3,'주문 접수 대장'!$A$4:$A$503,"&lt;="&amp;$D$3))</f>
        <v/>
      </c>
      <c r="F97" s="26">
        <f>IF($A97="","",SUMIFS('주문 접수 대장'!$K$4:$K$503,'주문 접수 대장'!$F$4:$F$503,$A97,'주문 접수 대장'!$A$4:$A$503,"&gt;="&amp;$B$3,'주문 접수 대장'!$A$4:$A$503,"&lt;="&amp;$D$3))</f>
        <v/>
      </c>
      <c r="G97" s="16">
        <f>IF($A97="","",SUMIFS('주문 접수 대장'!$H$4:$H$503,'주문 접수 대장'!$F$4:$F$503,$A97,'주문 접수 대장'!$A$4:$A$503,"&gt;="&amp;$B$3,'주문 접수 대장'!$A$4:$A$503,"&lt;="&amp;$D$3,'주문 접수 대장'!$O$4:$O$503,"&lt;&gt;납품완료",'주문 접수 대장'!$O$4:$O$503,"&lt;&gt;취소"))</f>
        <v/>
      </c>
      <c r="H97" s="25">
        <f>IF($A97="","",COUNTIFS('주문 접수 대장'!$F$4:$F$503,$A97,'주문 접수 대장'!$A$4:$A$503,"&gt;="&amp;$B$3,'주문 접수 대장'!$A$4:$A$503,"&lt;="&amp;$D$3,'주문 접수 대장'!$P$4:$P$503,"지연"))</f>
        <v/>
      </c>
      <c r="I97" s="25">
        <f>IF($A97="","",COUNTIFS('주문 접수 대장'!$F$4:$F$503,$A97,'주문 접수 대장'!$A$4:$A$503,"&gt;="&amp;$B$3,'주문 접수 대장'!$A$4:$A$503,"&lt;="&amp;$D$3,'주문 접수 대장'!$O$4:$O$503,"취소"))</f>
        <v/>
      </c>
      <c r="J97" s="27">
        <f>IF($A97="","",IF(COUNTIFS('주문 접수 대장'!$F$4:$F$503,$A97,'주문 접수 대장'!$I$4:$I$503,"&lt;&gt;"&amp;C97)&gt;0,"단위 섞임",""))</f>
        <v/>
      </c>
    </row>
    <row r="98">
      <c r="A98" s="23">
        <f>IFERROR(INDEX('주문 접수 대장'!$F$4:$F$503,MATCH(93,'주문 접수 대장'!$S$4:$S$503,0)),"")</f>
        <v/>
      </c>
      <c r="B98" s="24">
        <f>IF($A98="","",INDEX('주문 접수 대장'!$G$4:$G$503,MATCH($A98,'주문 접수 대장'!$F$4:$F$503,0))&amp;"")</f>
        <v/>
      </c>
      <c r="C98" s="14">
        <f>IF($A98="","",INDEX('주문 접수 대장'!$I$4:$I$503,MATCH($A98,'주문 접수 대장'!$F$4:$F$503,0))&amp;"")</f>
        <v/>
      </c>
      <c r="D98" s="25">
        <f>IF($A98="","",COUNTIFS('주문 접수 대장'!$F$4:$F$503,$A98,'주문 접수 대장'!$A$4:$A$503,"&gt;="&amp;$B$3,'주문 접수 대장'!$A$4:$A$503,"&lt;="&amp;$D$3))</f>
        <v/>
      </c>
      <c r="E98" s="16">
        <f>IF($A98="","",SUMIFS('주문 접수 대장'!$H$4:$H$503,'주문 접수 대장'!$F$4:$F$503,$A98,'주문 접수 대장'!$A$4:$A$503,"&gt;="&amp;$B$3,'주문 접수 대장'!$A$4:$A$503,"&lt;="&amp;$D$3))</f>
        <v/>
      </c>
      <c r="F98" s="26">
        <f>IF($A98="","",SUMIFS('주문 접수 대장'!$K$4:$K$503,'주문 접수 대장'!$F$4:$F$503,$A98,'주문 접수 대장'!$A$4:$A$503,"&gt;="&amp;$B$3,'주문 접수 대장'!$A$4:$A$503,"&lt;="&amp;$D$3))</f>
        <v/>
      </c>
      <c r="G98" s="16">
        <f>IF($A98="","",SUMIFS('주문 접수 대장'!$H$4:$H$503,'주문 접수 대장'!$F$4:$F$503,$A98,'주문 접수 대장'!$A$4:$A$503,"&gt;="&amp;$B$3,'주문 접수 대장'!$A$4:$A$503,"&lt;="&amp;$D$3,'주문 접수 대장'!$O$4:$O$503,"&lt;&gt;납품완료",'주문 접수 대장'!$O$4:$O$503,"&lt;&gt;취소"))</f>
        <v/>
      </c>
      <c r="H98" s="25">
        <f>IF($A98="","",COUNTIFS('주문 접수 대장'!$F$4:$F$503,$A98,'주문 접수 대장'!$A$4:$A$503,"&gt;="&amp;$B$3,'주문 접수 대장'!$A$4:$A$503,"&lt;="&amp;$D$3,'주문 접수 대장'!$P$4:$P$503,"지연"))</f>
        <v/>
      </c>
      <c r="I98" s="25">
        <f>IF($A98="","",COUNTIFS('주문 접수 대장'!$F$4:$F$503,$A98,'주문 접수 대장'!$A$4:$A$503,"&gt;="&amp;$B$3,'주문 접수 대장'!$A$4:$A$503,"&lt;="&amp;$D$3,'주문 접수 대장'!$O$4:$O$503,"취소"))</f>
        <v/>
      </c>
      <c r="J98" s="27">
        <f>IF($A98="","",IF(COUNTIFS('주문 접수 대장'!$F$4:$F$503,$A98,'주문 접수 대장'!$I$4:$I$503,"&lt;&gt;"&amp;C98)&gt;0,"단위 섞임",""))</f>
        <v/>
      </c>
    </row>
    <row r="99">
      <c r="A99" s="23">
        <f>IFERROR(INDEX('주문 접수 대장'!$F$4:$F$503,MATCH(94,'주문 접수 대장'!$S$4:$S$503,0)),"")</f>
        <v/>
      </c>
      <c r="B99" s="24">
        <f>IF($A99="","",INDEX('주문 접수 대장'!$G$4:$G$503,MATCH($A99,'주문 접수 대장'!$F$4:$F$503,0))&amp;"")</f>
        <v/>
      </c>
      <c r="C99" s="14">
        <f>IF($A99="","",INDEX('주문 접수 대장'!$I$4:$I$503,MATCH($A99,'주문 접수 대장'!$F$4:$F$503,0))&amp;"")</f>
        <v/>
      </c>
      <c r="D99" s="25">
        <f>IF($A99="","",COUNTIFS('주문 접수 대장'!$F$4:$F$503,$A99,'주문 접수 대장'!$A$4:$A$503,"&gt;="&amp;$B$3,'주문 접수 대장'!$A$4:$A$503,"&lt;="&amp;$D$3))</f>
        <v/>
      </c>
      <c r="E99" s="16">
        <f>IF($A99="","",SUMIFS('주문 접수 대장'!$H$4:$H$503,'주문 접수 대장'!$F$4:$F$503,$A99,'주문 접수 대장'!$A$4:$A$503,"&gt;="&amp;$B$3,'주문 접수 대장'!$A$4:$A$503,"&lt;="&amp;$D$3))</f>
        <v/>
      </c>
      <c r="F99" s="26">
        <f>IF($A99="","",SUMIFS('주문 접수 대장'!$K$4:$K$503,'주문 접수 대장'!$F$4:$F$503,$A99,'주문 접수 대장'!$A$4:$A$503,"&gt;="&amp;$B$3,'주문 접수 대장'!$A$4:$A$503,"&lt;="&amp;$D$3))</f>
        <v/>
      </c>
      <c r="G99" s="16">
        <f>IF($A99="","",SUMIFS('주문 접수 대장'!$H$4:$H$503,'주문 접수 대장'!$F$4:$F$503,$A99,'주문 접수 대장'!$A$4:$A$503,"&gt;="&amp;$B$3,'주문 접수 대장'!$A$4:$A$503,"&lt;="&amp;$D$3,'주문 접수 대장'!$O$4:$O$503,"&lt;&gt;납품완료",'주문 접수 대장'!$O$4:$O$503,"&lt;&gt;취소"))</f>
        <v/>
      </c>
      <c r="H99" s="25">
        <f>IF($A99="","",COUNTIFS('주문 접수 대장'!$F$4:$F$503,$A99,'주문 접수 대장'!$A$4:$A$503,"&gt;="&amp;$B$3,'주문 접수 대장'!$A$4:$A$503,"&lt;="&amp;$D$3,'주문 접수 대장'!$P$4:$P$503,"지연"))</f>
        <v/>
      </c>
      <c r="I99" s="25">
        <f>IF($A99="","",COUNTIFS('주문 접수 대장'!$F$4:$F$503,$A99,'주문 접수 대장'!$A$4:$A$503,"&gt;="&amp;$B$3,'주문 접수 대장'!$A$4:$A$503,"&lt;="&amp;$D$3,'주문 접수 대장'!$O$4:$O$503,"취소"))</f>
        <v/>
      </c>
      <c r="J99" s="27">
        <f>IF($A99="","",IF(COUNTIFS('주문 접수 대장'!$F$4:$F$503,$A99,'주문 접수 대장'!$I$4:$I$503,"&lt;&gt;"&amp;C99)&gt;0,"단위 섞임",""))</f>
        <v/>
      </c>
    </row>
    <row r="100">
      <c r="A100" s="23">
        <f>IFERROR(INDEX('주문 접수 대장'!$F$4:$F$503,MATCH(95,'주문 접수 대장'!$S$4:$S$503,0)),"")</f>
        <v/>
      </c>
      <c r="B100" s="24">
        <f>IF($A100="","",INDEX('주문 접수 대장'!$G$4:$G$503,MATCH($A100,'주문 접수 대장'!$F$4:$F$503,0))&amp;"")</f>
        <v/>
      </c>
      <c r="C100" s="14">
        <f>IF($A100="","",INDEX('주문 접수 대장'!$I$4:$I$503,MATCH($A100,'주문 접수 대장'!$F$4:$F$503,0))&amp;"")</f>
        <v/>
      </c>
      <c r="D100" s="25">
        <f>IF($A100="","",COUNTIFS('주문 접수 대장'!$F$4:$F$503,$A100,'주문 접수 대장'!$A$4:$A$503,"&gt;="&amp;$B$3,'주문 접수 대장'!$A$4:$A$503,"&lt;="&amp;$D$3))</f>
        <v/>
      </c>
      <c r="E100" s="16">
        <f>IF($A100="","",SUMIFS('주문 접수 대장'!$H$4:$H$503,'주문 접수 대장'!$F$4:$F$503,$A100,'주문 접수 대장'!$A$4:$A$503,"&gt;="&amp;$B$3,'주문 접수 대장'!$A$4:$A$503,"&lt;="&amp;$D$3))</f>
        <v/>
      </c>
      <c r="F100" s="26">
        <f>IF($A100="","",SUMIFS('주문 접수 대장'!$K$4:$K$503,'주문 접수 대장'!$F$4:$F$503,$A100,'주문 접수 대장'!$A$4:$A$503,"&gt;="&amp;$B$3,'주문 접수 대장'!$A$4:$A$503,"&lt;="&amp;$D$3))</f>
        <v/>
      </c>
      <c r="G100" s="16">
        <f>IF($A100="","",SUMIFS('주문 접수 대장'!$H$4:$H$503,'주문 접수 대장'!$F$4:$F$503,$A100,'주문 접수 대장'!$A$4:$A$503,"&gt;="&amp;$B$3,'주문 접수 대장'!$A$4:$A$503,"&lt;="&amp;$D$3,'주문 접수 대장'!$O$4:$O$503,"&lt;&gt;납품완료",'주문 접수 대장'!$O$4:$O$503,"&lt;&gt;취소"))</f>
        <v/>
      </c>
      <c r="H100" s="25">
        <f>IF($A100="","",COUNTIFS('주문 접수 대장'!$F$4:$F$503,$A100,'주문 접수 대장'!$A$4:$A$503,"&gt;="&amp;$B$3,'주문 접수 대장'!$A$4:$A$503,"&lt;="&amp;$D$3,'주문 접수 대장'!$P$4:$P$503,"지연"))</f>
        <v/>
      </c>
      <c r="I100" s="25">
        <f>IF($A100="","",COUNTIFS('주문 접수 대장'!$F$4:$F$503,$A100,'주문 접수 대장'!$A$4:$A$503,"&gt;="&amp;$B$3,'주문 접수 대장'!$A$4:$A$503,"&lt;="&amp;$D$3,'주문 접수 대장'!$O$4:$O$503,"취소"))</f>
        <v/>
      </c>
      <c r="J100" s="27">
        <f>IF($A100="","",IF(COUNTIFS('주문 접수 대장'!$F$4:$F$503,$A100,'주문 접수 대장'!$I$4:$I$503,"&lt;&gt;"&amp;C100)&gt;0,"단위 섞임",""))</f>
        <v/>
      </c>
    </row>
    <row r="101">
      <c r="A101" s="23">
        <f>IFERROR(INDEX('주문 접수 대장'!$F$4:$F$503,MATCH(96,'주문 접수 대장'!$S$4:$S$503,0)),"")</f>
        <v/>
      </c>
      <c r="B101" s="24">
        <f>IF($A101="","",INDEX('주문 접수 대장'!$G$4:$G$503,MATCH($A101,'주문 접수 대장'!$F$4:$F$503,0))&amp;"")</f>
        <v/>
      </c>
      <c r="C101" s="14">
        <f>IF($A101="","",INDEX('주문 접수 대장'!$I$4:$I$503,MATCH($A101,'주문 접수 대장'!$F$4:$F$503,0))&amp;"")</f>
        <v/>
      </c>
      <c r="D101" s="25">
        <f>IF($A101="","",COUNTIFS('주문 접수 대장'!$F$4:$F$503,$A101,'주문 접수 대장'!$A$4:$A$503,"&gt;="&amp;$B$3,'주문 접수 대장'!$A$4:$A$503,"&lt;="&amp;$D$3))</f>
        <v/>
      </c>
      <c r="E101" s="16">
        <f>IF($A101="","",SUMIFS('주문 접수 대장'!$H$4:$H$503,'주문 접수 대장'!$F$4:$F$503,$A101,'주문 접수 대장'!$A$4:$A$503,"&gt;="&amp;$B$3,'주문 접수 대장'!$A$4:$A$503,"&lt;="&amp;$D$3))</f>
        <v/>
      </c>
      <c r="F101" s="26">
        <f>IF($A101="","",SUMIFS('주문 접수 대장'!$K$4:$K$503,'주문 접수 대장'!$F$4:$F$503,$A101,'주문 접수 대장'!$A$4:$A$503,"&gt;="&amp;$B$3,'주문 접수 대장'!$A$4:$A$503,"&lt;="&amp;$D$3))</f>
        <v/>
      </c>
      <c r="G101" s="16">
        <f>IF($A101="","",SUMIFS('주문 접수 대장'!$H$4:$H$503,'주문 접수 대장'!$F$4:$F$503,$A101,'주문 접수 대장'!$A$4:$A$503,"&gt;="&amp;$B$3,'주문 접수 대장'!$A$4:$A$503,"&lt;="&amp;$D$3,'주문 접수 대장'!$O$4:$O$503,"&lt;&gt;납품완료",'주문 접수 대장'!$O$4:$O$503,"&lt;&gt;취소"))</f>
        <v/>
      </c>
      <c r="H101" s="25">
        <f>IF($A101="","",COUNTIFS('주문 접수 대장'!$F$4:$F$503,$A101,'주문 접수 대장'!$A$4:$A$503,"&gt;="&amp;$B$3,'주문 접수 대장'!$A$4:$A$503,"&lt;="&amp;$D$3,'주문 접수 대장'!$P$4:$P$503,"지연"))</f>
        <v/>
      </c>
      <c r="I101" s="25">
        <f>IF($A101="","",COUNTIFS('주문 접수 대장'!$F$4:$F$503,$A101,'주문 접수 대장'!$A$4:$A$503,"&gt;="&amp;$B$3,'주문 접수 대장'!$A$4:$A$503,"&lt;="&amp;$D$3,'주문 접수 대장'!$O$4:$O$503,"취소"))</f>
        <v/>
      </c>
      <c r="J101" s="27">
        <f>IF($A101="","",IF(COUNTIFS('주문 접수 대장'!$F$4:$F$503,$A101,'주문 접수 대장'!$I$4:$I$503,"&lt;&gt;"&amp;C101)&gt;0,"단위 섞임",""))</f>
        <v/>
      </c>
    </row>
    <row r="102">
      <c r="A102" s="23">
        <f>IFERROR(INDEX('주문 접수 대장'!$F$4:$F$503,MATCH(97,'주문 접수 대장'!$S$4:$S$503,0)),"")</f>
        <v/>
      </c>
      <c r="B102" s="24">
        <f>IF($A102="","",INDEX('주문 접수 대장'!$G$4:$G$503,MATCH($A102,'주문 접수 대장'!$F$4:$F$503,0))&amp;"")</f>
        <v/>
      </c>
      <c r="C102" s="14">
        <f>IF($A102="","",INDEX('주문 접수 대장'!$I$4:$I$503,MATCH($A102,'주문 접수 대장'!$F$4:$F$503,0))&amp;"")</f>
        <v/>
      </c>
      <c r="D102" s="25">
        <f>IF($A102="","",COUNTIFS('주문 접수 대장'!$F$4:$F$503,$A102,'주문 접수 대장'!$A$4:$A$503,"&gt;="&amp;$B$3,'주문 접수 대장'!$A$4:$A$503,"&lt;="&amp;$D$3))</f>
        <v/>
      </c>
      <c r="E102" s="16">
        <f>IF($A102="","",SUMIFS('주문 접수 대장'!$H$4:$H$503,'주문 접수 대장'!$F$4:$F$503,$A102,'주문 접수 대장'!$A$4:$A$503,"&gt;="&amp;$B$3,'주문 접수 대장'!$A$4:$A$503,"&lt;="&amp;$D$3))</f>
        <v/>
      </c>
      <c r="F102" s="26">
        <f>IF($A102="","",SUMIFS('주문 접수 대장'!$K$4:$K$503,'주문 접수 대장'!$F$4:$F$503,$A102,'주문 접수 대장'!$A$4:$A$503,"&gt;="&amp;$B$3,'주문 접수 대장'!$A$4:$A$503,"&lt;="&amp;$D$3))</f>
        <v/>
      </c>
      <c r="G102" s="16">
        <f>IF($A102="","",SUMIFS('주문 접수 대장'!$H$4:$H$503,'주문 접수 대장'!$F$4:$F$503,$A102,'주문 접수 대장'!$A$4:$A$503,"&gt;="&amp;$B$3,'주문 접수 대장'!$A$4:$A$503,"&lt;="&amp;$D$3,'주문 접수 대장'!$O$4:$O$503,"&lt;&gt;납품완료",'주문 접수 대장'!$O$4:$O$503,"&lt;&gt;취소"))</f>
        <v/>
      </c>
      <c r="H102" s="25">
        <f>IF($A102="","",COUNTIFS('주문 접수 대장'!$F$4:$F$503,$A102,'주문 접수 대장'!$A$4:$A$503,"&gt;="&amp;$B$3,'주문 접수 대장'!$A$4:$A$503,"&lt;="&amp;$D$3,'주문 접수 대장'!$P$4:$P$503,"지연"))</f>
        <v/>
      </c>
      <c r="I102" s="25">
        <f>IF($A102="","",COUNTIFS('주문 접수 대장'!$F$4:$F$503,$A102,'주문 접수 대장'!$A$4:$A$503,"&gt;="&amp;$B$3,'주문 접수 대장'!$A$4:$A$503,"&lt;="&amp;$D$3,'주문 접수 대장'!$O$4:$O$503,"취소"))</f>
        <v/>
      </c>
      <c r="J102" s="27">
        <f>IF($A102="","",IF(COUNTIFS('주문 접수 대장'!$F$4:$F$503,$A102,'주문 접수 대장'!$I$4:$I$503,"&lt;&gt;"&amp;C102)&gt;0,"단위 섞임",""))</f>
        <v/>
      </c>
    </row>
    <row r="103">
      <c r="A103" s="23">
        <f>IFERROR(INDEX('주문 접수 대장'!$F$4:$F$503,MATCH(98,'주문 접수 대장'!$S$4:$S$503,0)),"")</f>
        <v/>
      </c>
      <c r="B103" s="24">
        <f>IF($A103="","",INDEX('주문 접수 대장'!$G$4:$G$503,MATCH($A103,'주문 접수 대장'!$F$4:$F$503,0))&amp;"")</f>
        <v/>
      </c>
      <c r="C103" s="14">
        <f>IF($A103="","",INDEX('주문 접수 대장'!$I$4:$I$503,MATCH($A103,'주문 접수 대장'!$F$4:$F$503,0))&amp;"")</f>
        <v/>
      </c>
      <c r="D103" s="25">
        <f>IF($A103="","",COUNTIFS('주문 접수 대장'!$F$4:$F$503,$A103,'주문 접수 대장'!$A$4:$A$503,"&gt;="&amp;$B$3,'주문 접수 대장'!$A$4:$A$503,"&lt;="&amp;$D$3))</f>
        <v/>
      </c>
      <c r="E103" s="16">
        <f>IF($A103="","",SUMIFS('주문 접수 대장'!$H$4:$H$503,'주문 접수 대장'!$F$4:$F$503,$A103,'주문 접수 대장'!$A$4:$A$503,"&gt;="&amp;$B$3,'주문 접수 대장'!$A$4:$A$503,"&lt;="&amp;$D$3))</f>
        <v/>
      </c>
      <c r="F103" s="26">
        <f>IF($A103="","",SUMIFS('주문 접수 대장'!$K$4:$K$503,'주문 접수 대장'!$F$4:$F$503,$A103,'주문 접수 대장'!$A$4:$A$503,"&gt;="&amp;$B$3,'주문 접수 대장'!$A$4:$A$503,"&lt;="&amp;$D$3))</f>
        <v/>
      </c>
      <c r="G103" s="16">
        <f>IF($A103="","",SUMIFS('주문 접수 대장'!$H$4:$H$503,'주문 접수 대장'!$F$4:$F$503,$A103,'주문 접수 대장'!$A$4:$A$503,"&gt;="&amp;$B$3,'주문 접수 대장'!$A$4:$A$503,"&lt;="&amp;$D$3,'주문 접수 대장'!$O$4:$O$503,"&lt;&gt;납품완료",'주문 접수 대장'!$O$4:$O$503,"&lt;&gt;취소"))</f>
        <v/>
      </c>
      <c r="H103" s="25">
        <f>IF($A103="","",COUNTIFS('주문 접수 대장'!$F$4:$F$503,$A103,'주문 접수 대장'!$A$4:$A$503,"&gt;="&amp;$B$3,'주문 접수 대장'!$A$4:$A$503,"&lt;="&amp;$D$3,'주문 접수 대장'!$P$4:$P$503,"지연"))</f>
        <v/>
      </c>
      <c r="I103" s="25">
        <f>IF($A103="","",COUNTIFS('주문 접수 대장'!$F$4:$F$503,$A103,'주문 접수 대장'!$A$4:$A$503,"&gt;="&amp;$B$3,'주문 접수 대장'!$A$4:$A$503,"&lt;="&amp;$D$3,'주문 접수 대장'!$O$4:$O$503,"취소"))</f>
        <v/>
      </c>
      <c r="J103" s="27">
        <f>IF($A103="","",IF(COUNTIFS('주문 접수 대장'!$F$4:$F$503,$A103,'주문 접수 대장'!$I$4:$I$503,"&lt;&gt;"&amp;C103)&gt;0,"단위 섞임",""))</f>
        <v/>
      </c>
    </row>
    <row r="104">
      <c r="A104" s="23">
        <f>IFERROR(INDEX('주문 접수 대장'!$F$4:$F$503,MATCH(99,'주문 접수 대장'!$S$4:$S$503,0)),"")</f>
        <v/>
      </c>
      <c r="B104" s="24">
        <f>IF($A104="","",INDEX('주문 접수 대장'!$G$4:$G$503,MATCH($A104,'주문 접수 대장'!$F$4:$F$503,0))&amp;"")</f>
        <v/>
      </c>
      <c r="C104" s="14">
        <f>IF($A104="","",INDEX('주문 접수 대장'!$I$4:$I$503,MATCH($A104,'주문 접수 대장'!$F$4:$F$503,0))&amp;"")</f>
        <v/>
      </c>
      <c r="D104" s="25">
        <f>IF($A104="","",COUNTIFS('주문 접수 대장'!$F$4:$F$503,$A104,'주문 접수 대장'!$A$4:$A$503,"&gt;="&amp;$B$3,'주문 접수 대장'!$A$4:$A$503,"&lt;="&amp;$D$3))</f>
        <v/>
      </c>
      <c r="E104" s="16">
        <f>IF($A104="","",SUMIFS('주문 접수 대장'!$H$4:$H$503,'주문 접수 대장'!$F$4:$F$503,$A104,'주문 접수 대장'!$A$4:$A$503,"&gt;="&amp;$B$3,'주문 접수 대장'!$A$4:$A$503,"&lt;="&amp;$D$3))</f>
        <v/>
      </c>
      <c r="F104" s="26">
        <f>IF($A104="","",SUMIFS('주문 접수 대장'!$K$4:$K$503,'주문 접수 대장'!$F$4:$F$503,$A104,'주문 접수 대장'!$A$4:$A$503,"&gt;="&amp;$B$3,'주문 접수 대장'!$A$4:$A$503,"&lt;="&amp;$D$3))</f>
        <v/>
      </c>
      <c r="G104" s="16">
        <f>IF($A104="","",SUMIFS('주문 접수 대장'!$H$4:$H$503,'주문 접수 대장'!$F$4:$F$503,$A104,'주문 접수 대장'!$A$4:$A$503,"&gt;="&amp;$B$3,'주문 접수 대장'!$A$4:$A$503,"&lt;="&amp;$D$3,'주문 접수 대장'!$O$4:$O$503,"&lt;&gt;납품완료",'주문 접수 대장'!$O$4:$O$503,"&lt;&gt;취소"))</f>
        <v/>
      </c>
      <c r="H104" s="25">
        <f>IF($A104="","",COUNTIFS('주문 접수 대장'!$F$4:$F$503,$A104,'주문 접수 대장'!$A$4:$A$503,"&gt;="&amp;$B$3,'주문 접수 대장'!$A$4:$A$503,"&lt;="&amp;$D$3,'주문 접수 대장'!$P$4:$P$503,"지연"))</f>
        <v/>
      </c>
      <c r="I104" s="25">
        <f>IF($A104="","",COUNTIFS('주문 접수 대장'!$F$4:$F$503,$A104,'주문 접수 대장'!$A$4:$A$503,"&gt;="&amp;$B$3,'주문 접수 대장'!$A$4:$A$503,"&lt;="&amp;$D$3,'주문 접수 대장'!$O$4:$O$503,"취소"))</f>
        <v/>
      </c>
      <c r="J104" s="27">
        <f>IF($A104="","",IF(COUNTIFS('주문 접수 대장'!$F$4:$F$503,$A104,'주문 접수 대장'!$I$4:$I$503,"&lt;&gt;"&amp;C104)&gt;0,"단위 섞임",""))</f>
        <v/>
      </c>
    </row>
    <row r="105">
      <c r="A105" s="23">
        <f>IFERROR(INDEX('주문 접수 대장'!$F$4:$F$503,MATCH(100,'주문 접수 대장'!$S$4:$S$503,0)),"")</f>
        <v/>
      </c>
      <c r="B105" s="24">
        <f>IF($A105="","",INDEX('주문 접수 대장'!$G$4:$G$503,MATCH($A105,'주문 접수 대장'!$F$4:$F$503,0))&amp;"")</f>
        <v/>
      </c>
      <c r="C105" s="14">
        <f>IF($A105="","",INDEX('주문 접수 대장'!$I$4:$I$503,MATCH($A105,'주문 접수 대장'!$F$4:$F$503,0))&amp;"")</f>
        <v/>
      </c>
      <c r="D105" s="25">
        <f>IF($A105="","",COUNTIFS('주문 접수 대장'!$F$4:$F$503,$A105,'주문 접수 대장'!$A$4:$A$503,"&gt;="&amp;$B$3,'주문 접수 대장'!$A$4:$A$503,"&lt;="&amp;$D$3))</f>
        <v/>
      </c>
      <c r="E105" s="16">
        <f>IF($A105="","",SUMIFS('주문 접수 대장'!$H$4:$H$503,'주문 접수 대장'!$F$4:$F$503,$A105,'주문 접수 대장'!$A$4:$A$503,"&gt;="&amp;$B$3,'주문 접수 대장'!$A$4:$A$503,"&lt;="&amp;$D$3))</f>
        <v/>
      </c>
      <c r="F105" s="26">
        <f>IF($A105="","",SUMIFS('주문 접수 대장'!$K$4:$K$503,'주문 접수 대장'!$F$4:$F$503,$A105,'주문 접수 대장'!$A$4:$A$503,"&gt;="&amp;$B$3,'주문 접수 대장'!$A$4:$A$503,"&lt;="&amp;$D$3))</f>
        <v/>
      </c>
      <c r="G105" s="16">
        <f>IF($A105="","",SUMIFS('주문 접수 대장'!$H$4:$H$503,'주문 접수 대장'!$F$4:$F$503,$A105,'주문 접수 대장'!$A$4:$A$503,"&gt;="&amp;$B$3,'주문 접수 대장'!$A$4:$A$503,"&lt;="&amp;$D$3,'주문 접수 대장'!$O$4:$O$503,"&lt;&gt;납품완료",'주문 접수 대장'!$O$4:$O$503,"&lt;&gt;취소"))</f>
        <v/>
      </c>
      <c r="H105" s="25">
        <f>IF($A105="","",COUNTIFS('주문 접수 대장'!$F$4:$F$503,$A105,'주문 접수 대장'!$A$4:$A$503,"&gt;="&amp;$B$3,'주문 접수 대장'!$A$4:$A$503,"&lt;="&amp;$D$3,'주문 접수 대장'!$P$4:$P$503,"지연"))</f>
        <v/>
      </c>
      <c r="I105" s="25">
        <f>IF($A105="","",COUNTIFS('주문 접수 대장'!$F$4:$F$503,$A105,'주문 접수 대장'!$A$4:$A$503,"&gt;="&amp;$B$3,'주문 접수 대장'!$A$4:$A$503,"&lt;="&amp;$D$3,'주문 접수 대장'!$O$4:$O$503,"취소"))</f>
        <v/>
      </c>
      <c r="J105" s="27">
        <f>IF($A105="","",IF(COUNTIFS('주문 접수 대장'!$F$4:$F$503,$A105,'주문 접수 대장'!$I$4:$I$503,"&lt;&gt;"&amp;C105)&gt;0,"단위 섞임",""))</f>
        <v/>
      </c>
    </row>
    <row r="106">
      <c r="A106" s="8" t="inlineStr">
        <is>
          <t>합계</t>
        </is>
      </c>
      <c r="B106" s="9" t="n"/>
      <c r="C106" s="9" t="n"/>
      <c r="D106" s="28">
        <f>SUM(D6:D105)</f>
        <v/>
      </c>
      <c r="E106" s="9" t="n"/>
      <c r="F106" s="29">
        <f>SUM(F6:F105)</f>
        <v/>
      </c>
      <c r="G106" s="9" t="n"/>
      <c r="H106" s="28">
        <f>SUM(H6:H105)</f>
        <v/>
      </c>
      <c r="I106" s="28">
        <f>SUM(I6:I105)</f>
        <v/>
      </c>
      <c r="J106" s="9" t="n"/>
    </row>
    <row r="107">
      <c r="A107" s="7" t="inlineStr">
        <is>
          <t>수량은 단위가 같은 줄끼리만 더해야 맞습니다. '단위 섞임'이 뜨면 대장에서 그 품목의 단위(박스·kg·개)를 맞추세요.</t>
        </is>
      </c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</row>
  </sheetData>
  <mergeCells count="5">
    <mergeCell ref="A107:J107"/>
    <mergeCell ref="F3:J3"/>
    <mergeCell ref="A1:F1"/>
    <mergeCell ref="A2:J2"/>
    <mergeCell ref="D3:E3"/>
  </mergeCells>
  <conditionalFormatting sqref="H6:H105">
    <cfRule type="expression" priority="1" dxfId="3" stopIfTrue="0">
      <formula>N(H6)&gt;0</formula>
    </cfRule>
  </conditionalFormatting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30" t="inlineStr">
        <is>
          <t>주문 접수 대장 사용법</t>
        </is>
      </c>
    </row>
    <row r="3" ht="10" customHeight="1">
      <c r="B3" s="31" t="inlineStr"/>
    </row>
    <row r="4" ht="40" customHeight="1">
      <c r="B4" s="32" t="inlineStr">
        <is>
          <t>1. 팩스·카톡·메일·전화로 주문이 들어오면 받는 즉시 '주문 접수 대장' 시트에 적습니다. 주문 한 건에 품목이 여럿이면 품목마다 한 줄씩, 수신일·거래처·발주번호는 같게 적습니다.</t>
        </is>
      </c>
    </row>
    <row r="5" ht="40" customHeight="1">
      <c r="B5" s="32" t="inlineStr">
        <is>
          <t>2. 접수 경로를 고르고, 수량과 단위(박스·kg·개)를 함께 적습니다. 단가를 적으면 금액이 자동으로 계산됩니다.</t>
        </is>
      </c>
    </row>
    <row r="6" ht="40" customHeight="1">
      <c r="B6" s="32" t="inlineStr">
        <is>
          <t>3. 납기일을 꼭 적습니다. 납기일이 지났으면 '지연'(빨강), 오늘부터 임박 기준(L1, 처음 1일) 안이면 '임박'(주황)으로 표시됩니다.</t>
        </is>
      </c>
    </row>
    <row r="7" ht="24" customHeight="1">
      <c r="B7" s="32" t="inlineStr">
        <is>
          <t>4. 출고·납품하면 처리상태를 바꿉니다. 납품완료·취소는 회색으로 바뀌고 지연·임박 표시에서 빠집니다.</t>
        </is>
      </c>
    </row>
    <row r="8" ht="40" customHeight="1">
      <c r="B8" s="32" t="inlineStr">
        <is>
          <t>5. 같은 주문이 팩스와 카톡으로 두 번 오면 거래처·납기가 같은 줄을 확인하고 하나를 '취소'로 바꿉니다. 수량·배송일 변경은 원래 줄을 고치고 특이사항에 받은 시각을 적습니다.</t>
        </is>
      </c>
    </row>
    <row r="9" ht="40" customHeight="1">
      <c r="B9" s="32" t="inlineStr">
        <is>
          <t>6. '품목별 집계' 시트에서 기간을 정하면 품목별 주문 줄 수·수량·금액·미납 수량이 나옵니다. '단위 섞임'이 뜨면 단위를 맞춥니다.</t>
        </is>
      </c>
    </row>
    <row r="10" ht="10" customHeight="1">
      <c r="B10" s="31" t="inlineStr"/>
    </row>
    <row r="11" ht="24" customHeight="1">
      <c r="B11" s="33" t="inlineStr">
        <is>
          <t>종이 원본은 법정 기간 동안 그대로 보관하세요. 시트는 찾기·집계·대조용 사본입니다.</t>
        </is>
      </c>
    </row>
    <row r="12" ht="40" customHeight="1">
      <c r="B12" s="33" t="inlineStr">
        <is>
          <t>카카오톡 캡처에는 다른 대화나 개인 연락처가 함께 담길 수 있습니다. 원본 위치에는 파일 이름이나 팩스철 위치만 적고, 대장은 필요한 사람에게만 공유하세요.</t>
        </is>
      </c>
    </row>
    <row r="13" ht="10" customHeight="1">
      <c r="B13" s="31" t="inlineStr"/>
    </row>
    <row r="14" ht="24" customHeight="1">
      <c r="B14" s="34" t="inlineStr">
        <is>
          <t>팩스·카톡·메일 주문서를 대장에 옮겨 적고 있다면</t>
        </is>
      </c>
    </row>
    <row r="15" ht="40" customHeight="1">
      <c r="B15" s="32" t="inlineStr">
        <is>
          <t>AiutoForm은 주문서 사진·캡처(유료 AI)와 Gmail·Google Workspace 주문 메일을 읽어 고객발주 시트(수주대장)에 거래처·품목·수량·납기·배송지를 한 줄씩 쌓고, 납기일을 Google 캘린더에 올립니다. 카카오톡과 연동되지는 않습니다.</t>
        </is>
      </c>
    </row>
    <row r="16" ht="40" customHeight="1">
      <c r="B16" s="35" t="inlineStr">
        <is>
          <t>팩스·카톡 주문서 정리 가이드: https://aiutoform.co.kr/guide/fax-order-to-excel</t>
        </is>
      </c>
    </row>
    <row r="17" ht="24" customHeight="1">
      <c r="B17" s="35" t="inlineStr">
        <is>
          <t>가입 없이 데모로 확인: https://aiutoform.co.kr/demo</t>
        </is>
      </c>
    </row>
  </sheetData>
  <hyperlinks>
    <hyperlink xmlns:r="http://schemas.openxmlformats.org/officeDocument/2006/relationships" ref="B16" r:id="rId1"/>
    <hyperlink xmlns:r="http://schemas.openxmlformats.org/officeDocument/2006/relationships" ref="B17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주문 접수 대장 엑셀 양식</dc:title>
  <dcterms:created xsi:type="dcterms:W3CDTF">2026-10-12T08:01:07Z</dcterms:created>
  <dcterms:modified xsi:type="dcterms:W3CDTF">2026-10-12T08:01:07Z</dcterms:modified>
</cp:coreProperties>
</file>